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sers\planeacion\Documentos\Desk\00002 Adm 2021-2024\Año 2024\Información 1er Trimestre CONAC 2024\"/>
    </mc:Choice>
  </mc:AlternateContent>
  <bookViews>
    <workbookView xWindow="0" yWindow="0" windowWidth="20490" windowHeight="8940"/>
  </bookViews>
  <sheets>
    <sheet name="Hoja1" sheetId="1" r:id="rId1"/>
    <sheet name="Hoja3" sheetId="3" state="hidden" r:id="rId2"/>
    <sheet name="Hoja2" sheetId="2" state="hidden" r:id="rId3"/>
    <sheet name="Hoja3 (2)" sheetId="4" state="hidden" r:id="rId4"/>
  </sheets>
  <externalReferences>
    <externalReference r:id="rId5"/>
  </externalReferences>
  <definedNames>
    <definedName name="_xlnm._FilterDatabase" localSheetId="0" hidden="1">Hoja1!$A$10:$AJ$451</definedName>
    <definedName name="_xlnm._FilterDatabase" localSheetId="2" hidden="1">Hoja2!$A$5:$M$19</definedName>
    <definedName name="_xlnm._FilterDatabase" localSheetId="1" hidden="1">Hoja3!$A$5:$N$237</definedName>
    <definedName name="_xlnm._FilterDatabase" localSheetId="3" hidden="1">'Hoja3 (2)'!$A$5:$N$231</definedName>
    <definedName name="_xlnm.Print_Area" localSheetId="0">Hoja1!$A$3:$I$451</definedName>
    <definedName name="_xlnm.Print_Titles" localSheetId="0">Hoja1!$3:$10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7" i="1" l="1"/>
  <c r="H247" i="1" s="1"/>
  <c r="J226" i="1"/>
  <c r="K226" i="1" s="1"/>
  <c r="I226" i="1" s="1"/>
  <c r="J224" i="1"/>
  <c r="K224" i="1" s="1"/>
  <c r="I224" i="1" s="1"/>
  <c r="J217" i="1"/>
  <c r="K217" i="1" s="1"/>
  <c r="I217" i="1" s="1"/>
  <c r="J216" i="1"/>
  <c r="K216" i="1" s="1"/>
  <c r="I216" i="1" s="1"/>
  <c r="J230" i="1"/>
  <c r="K230" i="1" s="1"/>
  <c r="I230" i="1" s="1"/>
  <c r="J229" i="1"/>
  <c r="K229" i="1" s="1"/>
  <c r="I229" i="1" s="1"/>
  <c r="J228" i="1"/>
  <c r="H228" i="1" s="1"/>
  <c r="J227" i="1"/>
  <c r="H227" i="1" s="1"/>
  <c r="J225" i="1"/>
  <c r="K225" i="1" s="1"/>
  <c r="I225" i="1" s="1"/>
  <c r="J223" i="1"/>
  <c r="K223" i="1" s="1"/>
  <c r="I223" i="1" s="1"/>
  <c r="J222" i="1"/>
  <c r="H222" i="1" s="1"/>
  <c r="J221" i="1"/>
  <c r="H221" i="1" s="1"/>
  <c r="J220" i="1"/>
  <c r="K220" i="1" s="1"/>
  <c r="I220" i="1" s="1"/>
  <c r="H220" i="1"/>
  <c r="J219" i="1"/>
  <c r="H219" i="1" s="1"/>
  <c r="J218" i="1"/>
  <c r="K218" i="1" s="1"/>
  <c r="I218" i="1" s="1"/>
  <c r="J215" i="1"/>
  <c r="K215" i="1" s="1"/>
  <c r="I215" i="1" s="1"/>
  <c r="H215" i="1"/>
  <c r="J214" i="1"/>
  <c r="K214" i="1" s="1"/>
  <c r="I214" i="1" s="1"/>
  <c r="J213" i="1"/>
  <c r="K213" i="1" s="1"/>
  <c r="I213" i="1" s="1"/>
  <c r="J212" i="1"/>
  <c r="H212" i="1" s="1"/>
  <c r="H217" i="1" l="1"/>
  <c r="K247" i="1"/>
  <c r="I247" i="1" s="1"/>
  <c r="H226" i="1"/>
  <c r="H224" i="1"/>
  <c r="H216" i="1"/>
  <c r="H230" i="1"/>
  <c r="H229" i="1"/>
  <c r="K228" i="1"/>
  <c r="I228" i="1" s="1"/>
  <c r="K227" i="1"/>
  <c r="I227" i="1" s="1"/>
  <c r="H225" i="1"/>
  <c r="H223" i="1"/>
  <c r="K222" i="1"/>
  <c r="I222" i="1" s="1"/>
  <c r="K221" i="1"/>
  <c r="I221" i="1" s="1"/>
  <c r="K219" i="1"/>
  <c r="I219" i="1" s="1"/>
  <c r="H218" i="1"/>
  <c r="H214" i="1"/>
  <c r="H213" i="1"/>
  <c r="K212" i="1"/>
  <c r="I212" i="1" s="1"/>
  <c r="H210" i="1"/>
  <c r="J211" i="1"/>
  <c r="H211" i="1" s="1"/>
  <c r="J209" i="1"/>
  <c r="H209" i="1" s="1"/>
  <c r="J208" i="1"/>
  <c r="J207" i="1"/>
  <c r="H207" i="1" s="1"/>
  <c r="H205" i="1"/>
  <c r="J206" i="1"/>
  <c r="H206" i="1" s="1"/>
  <c r="J204" i="1"/>
  <c r="H204" i="1" s="1"/>
  <c r="H203" i="1"/>
  <c r="J202" i="1"/>
  <c r="H202" i="1" s="1"/>
  <c r="H208" i="1" l="1"/>
  <c r="J201" i="1" l="1"/>
  <c r="H194" i="1"/>
  <c r="J194" i="1"/>
  <c r="K194" i="1" s="1"/>
  <c r="I200" i="1"/>
  <c r="K200" i="1"/>
  <c r="H200" i="1"/>
  <c r="I199" i="1"/>
  <c r="H199" i="1"/>
  <c r="I198" i="1"/>
  <c r="K198" i="1"/>
  <c r="H198" i="1"/>
  <c r="H201" i="1" l="1"/>
  <c r="J246" i="1" l="1"/>
  <c r="H246" i="1" s="1"/>
  <c r="J245" i="1"/>
  <c r="H245" i="1" s="1"/>
  <c r="J244" i="1"/>
  <c r="H244" i="1" s="1"/>
  <c r="J243" i="1"/>
  <c r="H243" i="1" s="1"/>
  <c r="J242" i="1"/>
  <c r="H242" i="1" s="1"/>
  <c r="J241" i="1"/>
  <c r="H241" i="1" s="1"/>
  <c r="J240" i="1"/>
  <c r="H240" i="1" s="1"/>
  <c r="J239" i="1"/>
  <c r="H239" i="1" s="1"/>
  <c r="J238" i="1"/>
  <c r="H238" i="1" s="1"/>
  <c r="J237" i="1"/>
  <c r="H237" i="1" s="1"/>
  <c r="J236" i="1"/>
  <c r="H236" i="1" s="1"/>
  <c r="J235" i="1"/>
  <c r="H235" i="1" s="1"/>
  <c r="J234" i="1"/>
  <c r="H234" i="1" s="1"/>
  <c r="J233" i="1"/>
  <c r="H233" i="1" s="1"/>
  <c r="J232" i="1"/>
  <c r="H232" i="1" s="1"/>
  <c r="J231" i="1"/>
  <c r="H231" i="1" s="1"/>
  <c r="K231" i="1"/>
  <c r="I197" i="1"/>
  <c r="I196" i="1"/>
  <c r="I195" i="1"/>
  <c r="I193" i="1"/>
  <c r="I192" i="1"/>
  <c r="J197" i="1"/>
  <c r="H197" i="1" s="1"/>
  <c r="J196" i="1"/>
  <c r="J195" i="1"/>
  <c r="H195" i="1" s="1"/>
  <c r="J193" i="1"/>
  <c r="J192" i="1"/>
  <c r="H196" i="1" l="1"/>
  <c r="H193" i="1"/>
  <c r="H192" i="1"/>
  <c r="J96" i="1" l="1"/>
  <c r="H96" i="1" s="1"/>
  <c r="I96" i="1"/>
  <c r="J95" i="1"/>
  <c r="H95" i="1" s="1"/>
  <c r="I95" i="1"/>
  <c r="J94" i="1"/>
  <c r="H94" i="1" s="1"/>
  <c r="I94" i="1"/>
  <c r="J93" i="1"/>
  <c r="H93" i="1" s="1"/>
  <c r="I93" i="1"/>
  <c r="J92" i="1"/>
  <c r="H92" i="1" s="1"/>
  <c r="I92" i="1"/>
  <c r="I91" i="1"/>
  <c r="J91" i="1"/>
  <c r="H91" i="1" s="1"/>
  <c r="J90" i="1"/>
  <c r="H90" i="1" s="1"/>
  <c r="J89" i="1"/>
  <c r="H89" i="1" s="1"/>
  <c r="J88" i="1"/>
  <c r="H88" i="1" s="1"/>
  <c r="J87" i="1"/>
  <c r="I87" i="1" s="1"/>
  <c r="J86" i="1"/>
  <c r="H86" i="1" s="1"/>
  <c r="J85" i="1"/>
  <c r="I85" i="1" s="1"/>
  <c r="H85" i="1" l="1"/>
  <c r="I86" i="1"/>
  <c r="I90" i="1"/>
  <c r="I89" i="1"/>
  <c r="I88" i="1"/>
  <c r="H87" i="1"/>
  <c r="J84" i="1" l="1"/>
  <c r="H84" i="1" s="1"/>
  <c r="J83" i="1"/>
  <c r="H83" i="1" s="1"/>
  <c r="J82" i="1"/>
  <c r="H82" i="1" s="1"/>
  <c r="J81" i="1"/>
  <c r="I81" i="1" s="1"/>
  <c r="J80" i="1"/>
  <c r="I80" i="1" s="1"/>
  <c r="J79" i="1"/>
  <c r="I79" i="1" s="1"/>
  <c r="J78" i="1"/>
  <c r="H78" i="1" s="1"/>
  <c r="J77" i="1"/>
  <c r="I77" i="1" s="1"/>
  <c r="J76" i="1"/>
  <c r="I76" i="1" s="1"/>
  <c r="J75" i="1"/>
  <c r="H75" i="1" s="1"/>
  <c r="J74" i="1"/>
  <c r="I74" i="1" s="1"/>
  <c r="J73" i="1"/>
  <c r="H73" i="1" s="1"/>
  <c r="J72" i="1"/>
  <c r="I72" i="1" s="1"/>
  <c r="J71" i="1"/>
  <c r="H71" i="1" s="1"/>
  <c r="J70" i="1"/>
  <c r="H70" i="1" s="1"/>
  <c r="J69" i="1"/>
  <c r="I69" i="1" s="1"/>
  <c r="J68" i="1"/>
  <c r="H68" i="1" s="1"/>
  <c r="J67" i="1"/>
  <c r="I67" i="1" s="1"/>
  <c r="I83" i="1" l="1"/>
  <c r="I75" i="1"/>
  <c r="I78" i="1"/>
  <c r="I84" i="1"/>
  <c r="I82" i="1"/>
  <c r="H81" i="1"/>
  <c r="H80" i="1"/>
  <c r="H79" i="1"/>
  <c r="H77" i="1"/>
  <c r="H76" i="1"/>
  <c r="H74" i="1"/>
  <c r="I73" i="1"/>
  <c r="H72" i="1"/>
  <c r="I71" i="1"/>
  <c r="I70" i="1"/>
  <c r="H69" i="1"/>
  <c r="I68" i="1"/>
  <c r="H67" i="1"/>
  <c r="J144" i="1" l="1"/>
  <c r="I144" i="1" s="1"/>
  <c r="J143" i="1"/>
  <c r="I143" i="1" s="1"/>
  <c r="J142" i="1"/>
  <c r="I142" i="1" s="1"/>
  <c r="J141" i="1"/>
  <c r="I141" i="1" s="1"/>
  <c r="J140" i="1"/>
  <c r="I140" i="1" s="1"/>
  <c r="J139" i="1"/>
  <c r="I139" i="1" s="1"/>
  <c r="J138" i="1"/>
  <c r="I138" i="1" s="1"/>
  <c r="J137" i="1"/>
  <c r="I137" i="1" s="1"/>
  <c r="J136" i="1"/>
  <c r="I136" i="1" s="1"/>
  <c r="J135" i="1"/>
  <c r="I135" i="1" s="1"/>
  <c r="J134" i="1"/>
  <c r="H134" i="1" s="1"/>
  <c r="J133" i="1"/>
  <c r="I133" i="1" s="1"/>
  <c r="J132" i="1"/>
  <c r="H132" i="1" s="1"/>
  <c r="J131" i="1"/>
  <c r="I131" i="1" s="1"/>
  <c r="J130" i="1"/>
  <c r="H130" i="1" s="1"/>
  <c r="J129" i="1"/>
  <c r="I129" i="1" s="1"/>
  <c r="J128" i="1"/>
  <c r="I128" i="1" s="1"/>
  <c r="J127" i="1"/>
  <c r="I127" i="1" s="1"/>
  <c r="J126" i="1"/>
  <c r="I126" i="1" s="1"/>
  <c r="J125" i="1"/>
  <c r="H125" i="1" s="1"/>
  <c r="J124" i="1"/>
  <c r="I124" i="1" s="1"/>
  <c r="J123" i="1"/>
  <c r="I123" i="1" s="1"/>
  <c r="J122" i="1"/>
  <c r="H122" i="1" s="1"/>
  <c r="J121" i="1"/>
  <c r="H121" i="1" s="1"/>
  <c r="J120" i="1"/>
  <c r="H120" i="1" s="1"/>
  <c r="J119" i="1"/>
  <c r="I119" i="1" s="1"/>
  <c r="J118" i="1"/>
  <c r="I118" i="1" s="1"/>
  <c r="J117" i="1"/>
  <c r="I117" i="1" s="1"/>
  <c r="J116" i="1"/>
  <c r="H116" i="1" s="1"/>
  <c r="J115" i="1"/>
  <c r="H115" i="1" s="1"/>
  <c r="J114" i="1"/>
  <c r="H114" i="1" s="1"/>
  <c r="J113" i="1"/>
  <c r="H113" i="1" s="1"/>
  <c r="J112" i="1"/>
  <c r="I112" i="1" s="1"/>
  <c r="J111" i="1"/>
  <c r="I111" i="1" s="1"/>
  <c r="J110" i="1"/>
  <c r="H110" i="1" s="1"/>
  <c r="J109" i="1"/>
  <c r="I109" i="1" s="1"/>
  <c r="J108" i="1"/>
  <c r="I108" i="1" s="1"/>
  <c r="J107" i="1"/>
  <c r="H107" i="1" s="1"/>
  <c r="J106" i="1"/>
  <c r="I106" i="1" s="1"/>
  <c r="J105" i="1"/>
  <c r="I105" i="1" s="1"/>
  <c r="J104" i="1"/>
  <c r="I104" i="1" s="1"/>
  <c r="J103" i="1"/>
  <c r="H103" i="1" s="1"/>
  <c r="J102" i="1"/>
  <c r="I102" i="1" s="1"/>
  <c r="J101" i="1"/>
  <c r="I101" i="1" s="1"/>
  <c r="J100" i="1"/>
  <c r="H100" i="1" s="1"/>
  <c r="J99" i="1"/>
  <c r="I99" i="1" s="1"/>
  <c r="J98" i="1"/>
  <c r="I98" i="1" s="1"/>
  <c r="J97" i="1"/>
  <c r="I97" i="1" s="1"/>
  <c r="J191" i="1"/>
  <c r="I191" i="1" s="1"/>
  <c r="J190" i="1"/>
  <c r="H190" i="1" s="1"/>
  <c r="J189" i="1"/>
  <c r="H189" i="1" s="1"/>
  <c r="J188" i="1"/>
  <c r="I188" i="1" s="1"/>
  <c r="J187" i="1"/>
  <c r="I187" i="1" s="1"/>
  <c r="J186" i="1"/>
  <c r="I186" i="1" s="1"/>
  <c r="J185" i="1"/>
  <c r="H185" i="1" s="1"/>
  <c r="J184" i="1"/>
  <c r="I184" i="1" s="1"/>
  <c r="J183" i="1"/>
  <c r="H183" i="1" s="1"/>
  <c r="J182" i="1"/>
  <c r="H182" i="1" s="1"/>
  <c r="J181" i="1"/>
  <c r="I181" i="1" s="1"/>
  <c r="J180" i="1"/>
  <c r="H180" i="1" s="1"/>
  <c r="J179" i="1"/>
  <c r="I179" i="1" s="1"/>
  <c r="J178" i="1"/>
  <c r="H178" i="1" s="1"/>
  <c r="J177" i="1"/>
  <c r="H177" i="1" s="1"/>
  <c r="J176" i="1"/>
  <c r="H176" i="1" s="1"/>
  <c r="J175" i="1"/>
  <c r="H175" i="1" s="1"/>
  <c r="J174" i="1"/>
  <c r="H174" i="1" s="1"/>
  <c r="J173" i="1"/>
  <c r="H173" i="1" s="1"/>
  <c r="J172" i="1"/>
  <c r="H172" i="1" s="1"/>
  <c r="J171" i="1"/>
  <c r="I171" i="1" s="1"/>
  <c r="J170" i="1"/>
  <c r="H170" i="1" s="1"/>
  <c r="J169" i="1"/>
  <c r="H169" i="1" s="1"/>
  <c r="J168" i="1"/>
  <c r="H168" i="1" s="1"/>
  <c r="J167" i="1"/>
  <c r="H167" i="1" s="1"/>
  <c r="J166" i="1"/>
  <c r="I166" i="1" s="1"/>
  <c r="J165" i="1"/>
  <c r="H165" i="1" s="1"/>
  <c r="J164" i="1"/>
  <c r="I164" i="1" s="1"/>
  <c r="J163" i="1"/>
  <c r="I163" i="1" s="1"/>
  <c r="J162" i="1"/>
  <c r="I162" i="1" s="1"/>
  <c r="J161" i="1"/>
  <c r="I161" i="1" s="1"/>
  <c r="J160" i="1"/>
  <c r="I160" i="1" s="1"/>
  <c r="J159" i="1"/>
  <c r="H159" i="1" s="1"/>
  <c r="J158" i="1"/>
  <c r="H158" i="1" s="1"/>
  <c r="J157" i="1"/>
  <c r="I157" i="1" s="1"/>
  <c r="J156" i="1"/>
  <c r="H156" i="1" s="1"/>
  <c r="J155" i="1"/>
  <c r="I155" i="1" s="1"/>
  <c r="J154" i="1"/>
  <c r="H154" i="1" s="1"/>
  <c r="J153" i="1"/>
  <c r="I153" i="1" s="1"/>
  <c r="J152" i="1"/>
  <c r="H152" i="1" s="1"/>
  <c r="J151" i="1"/>
  <c r="I151" i="1" s="1"/>
  <c r="J150" i="1"/>
  <c r="H150" i="1" s="1"/>
  <c r="J149" i="1"/>
  <c r="I149" i="1" s="1"/>
  <c r="J148" i="1"/>
  <c r="I148" i="1" s="1"/>
  <c r="J147" i="1"/>
  <c r="H147" i="1" s="1"/>
  <c r="J146" i="1"/>
  <c r="H146" i="1" s="1"/>
  <c r="J145" i="1"/>
  <c r="I145" i="1" s="1"/>
  <c r="I134" i="1" l="1"/>
  <c r="H137" i="1"/>
  <c r="H140" i="1"/>
  <c r="I146" i="1"/>
  <c r="I173" i="1"/>
  <c r="H187" i="1"/>
  <c r="I107" i="1"/>
  <c r="I110" i="1"/>
  <c r="I113" i="1"/>
  <c r="I121" i="1"/>
  <c r="H128" i="1"/>
  <c r="I189" i="1"/>
  <c r="I115" i="1"/>
  <c r="H111" i="1"/>
  <c r="H127" i="1"/>
  <c r="H136" i="1"/>
  <c r="I175" i="1"/>
  <c r="I178" i="1"/>
  <c r="I100" i="1"/>
  <c r="I103" i="1"/>
  <c r="I114" i="1"/>
  <c r="I120" i="1"/>
  <c r="I122" i="1"/>
  <c r="I125" i="1"/>
  <c r="I130" i="1"/>
  <c r="H133" i="1"/>
  <c r="H144" i="1"/>
  <c r="H143" i="1"/>
  <c r="H142" i="1"/>
  <c r="H141" i="1"/>
  <c r="H139" i="1"/>
  <c r="H138" i="1"/>
  <c r="H135" i="1"/>
  <c r="I132" i="1"/>
  <c r="H131" i="1"/>
  <c r="H129" i="1"/>
  <c r="H126" i="1"/>
  <c r="H124" i="1"/>
  <c r="H123" i="1"/>
  <c r="H119" i="1"/>
  <c r="H118" i="1"/>
  <c r="H117" i="1"/>
  <c r="I116" i="1"/>
  <c r="H112" i="1"/>
  <c r="H109" i="1"/>
  <c r="H108" i="1"/>
  <c r="H106" i="1"/>
  <c r="H105" i="1"/>
  <c r="H104" i="1"/>
  <c r="H102" i="1"/>
  <c r="H101" i="1"/>
  <c r="H99" i="1"/>
  <c r="H98" i="1"/>
  <c r="H97" i="1"/>
  <c r="I147" i="1"/>
  <c r="I150" i="1"/>
  <c r="I167" i="1"/>
  <c r="I185" i="1"/>
  <c r="I158" i="1"/>
  <c r="I165" i="1"/>
  <c r="I180" i="1"/>
  <c r="I183" i="1"/>
  <c r="H186" i="1"/>
  <c r="I159" i="1"/>
  <c r="I172" i="1"/>
  <c r="I174" i="1"/>
  <c r="I176" i="1"/>
  <c r="H191" i="1"/>
  <c r="I190" i="1"/>
  <c r="H188" i="1"/>
  <c r="H184" i="1"/>
  <c r="I182" i="1"/>
  <c r="H181" i="1"/>
  <c r="H179" i="1"/>
  <c r="I177" i="1"/>
  <c r="H171" i="1"/>
  <c r="I170" i="1"/>
  <c r="I169" i="1"/>
  <c r="I168" i="1"/>
  <c r="H166" i="1"/>
  <c r="H164" i="1"/>
  <c r="H163" i="1"/>
  <c r="H162" i="1"/>
  <c r="H161" i="1"/>
  <c r="H160" i="1"/>
  <c r="H157" i="1"/>
  <c r="I156" i="1"/>
  <c r="H155" i="1"/>
  <c r="I154" i="1"/>
  <c r="H153" i="1"/>
  <c r="I152" i="1"/>
  <c r="H151" i="1"/>
  <c r="H149" i="1"/>
  <c r="H148" i="1"/>
  <c r="H145" i="1"/>
  <c r="AB247" i="1" l="1"/>
  <c r="X247" i="1"/>
  <c r="W247" i="1"/>
  <c r="Q247" i="1"/>
  <c r="O247" i="1"/>
  <c r="N247" i="1"/>
  <c r="F247" i="1"/>
  <c r="E247" i="1"/>
  <c r="AB246" i="1"/>
  <c r="X246" i="1"/>
  <c r="W246" i="1"/>
  <c r="Q246" i="1"/>
  <c r="O246" i="1"/>
  <c r="N246" i="1"/>
  <c r="K246" i="1"/>
  <c r="F246" i="1"/>
  <c r="E246" i="1"/>
  <c r="AB245" i="1"/>
  <c r="X245" i="1"/>
  <c r="W245" i="1"/>
  <c r="Q245" i="1"/>
  <c r="O245" i="1"/>
  <c r="N245" i="1"/>
  <c r="K245" i="1"/>
  <c r="F245" i="1"/>
  <c r="E245" i="1"/>
  <c r="AB244" i="1"/>
  <c r="X244" i="1"/>
  <c r="W244" i="1"/>
  <c r="Q244" i="1"/>
  <c r="O244" i="1"/>
  <c r="N244" i="1"/>
  <c r="K244" i="1"/>
  <c r="F244" i="1"/>
  <c r="E244" i="1"/>
  <c r="AB243" i="1"/>
  <c r="X243" i="1"/>
  <c r="W243" i="1"/>
  <c r="Q243" i="1"/>
  <c r="O243" i="1"/>
  <c r="N243" i="1"/>
  <c r="K243" i="1"/>
  <c r="F243" i="1"/>
  <c r="E243" i="1"/>
  <c r="AB242" i="1"/>
  <c r="X242" i="1"/>
  <c r="W242" i="1"/>
  <c r="Q242" i="1"/>
  <c r="O242" i="1"/>
  <c r="N242" i="1"/>
  <c r="K242" i="1"/>
  <c r="F242" i="1"/>
  <c r="E242" i="1"/>
  <c r="AB241" i="1"/>
  <c r="X241" i="1"/>
  <c r="W241" i="1"/>
  <c r="Q241" i="1"/>
  <c r="O241" i="1"/>
  <c r="N241" i="1"/>
  <c r="K241" i="1"/>
  <c r="F241" i="1"/>
  <c r="E241" i="1"/>
  <c r="AB240" i="1"/>
  <c r="X240" i="1"/>
  <c r="W240" i="1"/>
  <c r="Q240" i="1"/>
  <c r="O240" i="1"/>
  <c r="N240" i="1"/>
  <c r="K240" i="1"/>
  <c r="F240" i="1"/>
  <c r="E240" i="1"/>
  <c r="AB239" i="1"/>
  <c r="X239" i="1"/>
  <c r="W239" i="1"/>
  <c r="Q239" i="1"/>
  <c r="O239" i="1"/>
  <c r="N239" i="1"/>
  <c r="K239" i="1"/>
  <c r="F239" i="1"/>
  <c r="E239" i="1"/>
  <c r="AB238" i="1"/>
  <c r="X238" i="1"/>
  <c r="W238" i="1"/>
  <c r="Q238" i="1"/>
  <c r="O238" i="1"/>
  <c r="N238" i="1"/>
  <c r="K238" i="1"/>
  <c r="F238" i="1"/>
  <c r="E238" i="1"/>
  <c r="AB237" i="1"/>
  <c r="X237" i="1"/>
  <c r="W237" i="1"/>
  <c r="Q237" i="1"/>
  <c r="O237" i="1"/>
  <c r="N237" i="1"/>
  <c r="K237" i="1"/>
  <c r="F237" i="1"/>
  <c r="E237" i="1"/>
  <c r="AB236" i="1"/>
  <c r="X236" i="1"/>
  <c r="W236" i="1"/>
  <c r="Q236" i="1"/>
  <c r="O236" i="1"/>
  <c r="N236" i="1"/>
  <c r="K236" i="1"/>
  <c r="F236" i="1"/>
  <c r="E236" i="1"/>
  <c r="AB235" i="1"/>
  <c r="X235" i="1"/>
  <c r="W235" i="1"/>
  <c r="Q235" i="1"/>
  <c r="O235" i="1"/>
  <c r="N235" i="1"/>
  <c r="K235" i="1"/>
  <c r="F235" i="1"/>
  <c r="E235" i="1"/>
  <c r="AB234" i="1"/>
  <c r="X234" i="1"/>
  <c r="W234" i="1"/>
  <c r="Q234" i="1"/>
  <c r="O234" i="1"/>
  <c r="N234" i="1"/>
  <c r="K234" i="1"/>
  <c r="F234" i="1"/>
  <c r="E234" i="1"/>
  <c r="AB233" i="1"/>
  <c r="X233" i="1"/>
  <c r="W233" i="1"/>
  <c r="Q233" i="1"/>
  <c r="O233" i="1"/>
  <c r="N233" i="1"/>
  <c r="K233" i="1"/>
  <c r="F233" i="1"/>
  <c r="E233" i="1"/>
  <c r="AB232" i="1"/>
  <c r="X232" i="1"/>
  <c r="W232" i="1"/>
  <c r="Q232" i="1"/>
  <c r="O232" i="1"/>
  <c r="N232" i="1"/>
  <c r="K232" i="1"/>
  <c r="F232" i="1"/>
  <c r="E232" i="1"/>
  <c r="AB231" i="1"/>
  <c r="X231" i="1"/>
  <c r="W231" i="1"/>
  <c r="Q231" i="1"/>
  <c r="O231" i="1"/>
  <c r="N231" i="1"/>
  <c r="F231" i="1"/>
  <c r="E231" i="1"/>
  <c r="E230" i="1"/>
  <c r="F230" i="1"/>
  <c r="N230" i="1"/>
  <c r="O230" i="1"/>
  <c r="Q230" i="1"/>
  <c r="W230" i="1"/>
  <c r="X230" i="1"/>
  <c r="AB230" i="1"/>
  <c r="Q248" i="1"/>
  <c r="Q249" i="1"/>
  <c r="Q250" i="1"/>
  <c r="Q251" i="1"/>
  <c r="Q252" i="1"/>
  <c r="Q253" i="1"/>
  <c r="Q254" i="1"/>
  <c r="O255" i="1"/>
  <c r="Q255" i="1"/>
  <c r="Q256" i="1"/>
  <c r="O257" i="1"/>
  <c r="Q257" i="1"/>
  <c r="Q258" i="1"/>
  <c r="Q432" i="1" l="1"/>
  <c r="Q11" i="1"/>
  <c r="Q451" i="1"/>
  <c r="Q450" i="1"/>
  <c r="Q449" i="1"/>
  <c r="Q448" i="1"/>
  <c r="Q447" i="1"/>
  <c r="Q446" i="1"/>
  <c r="Q445" i="1"/>
  <c r="Q444" i="1"/>
  <c r="Q443" i="1"/>
  <c r="Q442" i="1"/>
  <c r="Q441" i="1"/>
  <c r="Q440" i="1"/>
  <c r="Q439" i="1"/>
  <c r="Q438" i="1"/>
  <c r="Q437" i="1"/>
  <c r="Q436" i="1"/>
  <c r="Q435" i="1"/>
  <c r="Q434" i="1"/>
  <c r="Q433" i="1"/>
  <c r="Q428" i="1"/>
  <c r="Q427" i="1"/>
  <c r="Q426" i="1"/>
  <c r="Q425" i="1"/>
  <c r="Q424" i="1"/>
  <c r="Q423" i="1"/>
  <c r="Q422" i="1"/>
  <c r="Q421" i="1"/>
  <c r="Q420" i="1"/>
  <c r="Q419" i="1"/>
  <c r="Q418" i="1"/>
  <c r="Q417" i="1"/>
  <c r="Q416" i="1"/>
  <c r="Q415" i="1"/>
  <c r="Q414" i="1"/>
  <c r="Q413" i="1"/>
  <c r="Q412" i="1"/>
  <c r="Q411" i="1"/>
  <c r="Q410" i="1"/>
  <c r="Q409" i="1"/>
  <c r="Q408" i="1"/>
  <c r="Q407" i="1"/>
  <c r="Q406" i="1"/>
  <c r="Q405" i="1"/>
  <c r="Q404" i="1"/>
  <c r="Q403" i="1"/>
  <c r="Q402" i="1"/>
  <c r="Q401" i="1"/>
  <c r="Q400" i="1"/>
  <c r="Q399" i="1"/>
  <c r="Q398" i="1"/>
  <c r="Q397" i="1"/>
  <c r="Q396" i="1"/>
  <c r="Q395" i="1"/>
  <c r="Q394" i="1"/>
  <c r="Q393" i="1"/>
  <c r="Q392" i="1"/>
  <c r="Q391" i="1"/>
  <c r="Q390" i="1"/>
  <c r="Q389" i="1"/>
  <c r="Q388" i="1"/>
  <c r="Q387" i="1"/>
  <c r="Q386" i="1"/>
  <c r="Q385" i="1"/>
  <c r="Q384" i="1"/>
  <c r="Q383" i="1"/>
  <c r="Q382" i="1"/>
  <c r="Q381" i="1"/>
  <c r="Q380" i="1"/>
  <c r="Q379" i="1"/>
  <c r="Q378" i="1"/>
  <c r="Q377" i="1"/>
  <c r="Q376" i="1"/>
  <c r="Q375" i="1"/>
  <c r="Q374" i="1"/>
  <c r="Q373" i="1"/>
  <c r="Q372" i="1"/>
  <c r="Q371" i="1"/>
  <c r="Q370" i="1"/>
  <c r="Q369" i="1"/>
  <c r="Q368" i="1"/>
  <c r="Q367" i="1"/>
  <c r="Q366" i="1"/>
  <c r="Q365" i="1"/>
  <c r="Q364" i="1"/>
  <c r="Q363" i="1"/>
  <c r="Q362" i="1"/>
  <c r="Q361" i="1"/>
  <c r="Q360" i="1"/>
  <c r="Q359" i="1"/>
  <c r="Q358" i="1"/>
  <c r="Q357" i="1"/>
  <c r="Q356" i="1"/>
  <c r="Q355" i="1"/>
  <c r="Q354" i="1"/>
  <c r="Q353" i="1"/>
  <c r="Q352" i="1"/>
  <c r="Q351" i="1"/>
  <c r="Q350" i="1"/>
  <c r="Q349" i="1"/>
  <c r="Q348" i="1"/>
  <c r="Q347" i="1"/>
  <c r="Q346" i="1"/>
  <c r="Q345" i="1"/>
  <c r="Q344" i="1"/>
  <c r="Q343" i="1"/>
  <c r="Q342" i="1"/>
  <c r="Q341" i="1"/>
  <c r="Q340" i="1"/>
  <c r="Q339" i="1"/>
  <c r="Q338" i="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91" i="1"/>
  <c r="N91" i="1"/>
  <c r="K171" i="1" l="1"/>
  <c r="O437" i="1"/>
  <c r="K163" i="1"/>
  <c r="K161" i="1"/>
  <c r="K159" i="1"/>
  <c r="K157" i="1"/>
  <c r="O435" i="1"/>
  <c r="O441" i="1"/>
  <c r="O436" i="1"/>
  <c r="K160" i="1" l="1"/>
  <c r="K162" i="1"/>
  <c r="O141" i="1"/>
  <c r="O148" i="1"/>
  <c r="O143" i="1"/>
  <c r="O142" i="1"/>
  <c r="O140" i="1"/>
  <c r="O220" i="1"/>
  <c r="O216" i="1"/>
  <c r="O138" i="1"/>
  <c r="O136" i="1"/>
  <c r="O122" i="1"/>
  <c r="O119" i="1"/>
  <c r="O103" i="1"/>
  <c r="O118" i="1"/>
  <c r="O117" i="1"/>
  <c r="O116" i="1"/>
  <c r="O115" i="1"/>
  <c r="O113" i="1"/>
  <c r="O112" i="1"/>
  <c r="O110" i="1"/>
  <c r="O109" i="1"/>
  <c r="O107" i="1"/>
  <c r="O104" i="1"/>
  <c r="O101" i="1"/>
  <c r="O96" i="1"/>
  <c r="O227" i="1"/>
  <c r="O168" i="1"/>
  <c r="O92" i="1"/>
  <c r="O91" i="1"/>
  <c r="O155" i="1"/>
  <c r="O134" i="1"/>
  <c r="O130" i="1"/>
  <c r="O126" i="1"/>
  <c r="O121" i="1"/>
  <c r="O108" i="1"/>
  <c r="O213" i="1"/>
  <c r="O209" i="1"/>
  <c r="O205" i="1"/>
  <c r="O201" i="1"/>
  <c r="O197" i="1"/>
  <c r="O193" i="1"/>
  <c r="O187" i="1"/>
  <c r="O173" i="1"/>
  <c r="O229" i="1"/>
  <c r="O228" i="1"/>
  <c r="O224" i="1"/>
  <c r="O223" i="1"/>
  <c r="O222" i="1"/>
  <c r="O221" i="1"/>
  <c r="O219" i="1"/>
  <c r="O218" i="1"/>
  <c r="O217" i="1"/>
  <c r="O190" i="1"/>
  <c r="O189" i="1"/>
  <c r="O186" i="1"/>
  <c r="O185" i="1"/>
  <c r="O184" i="1"/>
  <c r="O179" i="1"/>
  <c r="O177" i="1"/>
  <c r="O175" i="1"/>
  <c r="O171" i="1"/>
  <c r="O169" i="1"/>
  <c r="O167" i="1"/>
  <c r="O166" i="1"/>
  <c r="O165" i="1"/>
  <c r="O164" i="1"/>
  <c r="O163" i="1"/>
  <c r="O162" i="1"/>
  <c r="O161" i="1"/>
  <c r="O160" i="1"/>
  <c r="O159" i="1"/>
  <c r="O158" i="1"/>
  <c r="O157" i="1"/>
  <c r="O156" i="1"/>
  <c r="O150" i="1"/>
  <c r="O149" i="1"/>
  <c r="O147" i="1"/>
  <c r="O146" i="1"/>
  <c r="O145" i="1"/>
  <c r="O144" i="1"/>
  <c r="O139" i="1"/>
  <c r="O93" i="1"/>
  <c r="N226" i="1"/>
  <c r="N184" i="1"/>
  <c r="N150" i="1"/>
  <c r="O105" i="1" l="1"/>
  <c r="O106" i="1"/>
  <c r="O102" i="1"/>
  <c r="O100" i="1"/>
  <c r="O99" i="1"/>
  <c r="O98" i="1"/>
  <c r="O97" i="1"/>
  <c r="O226" i="1"/>
  <c r="O95" i="1"/>
  <c r="O94" i="1"/>
  <c r="O151" i="1"/>
  <c r="O152" i="1"/>
  <c r="O153" i="1"/>
  <c r="O154" i="1"/>
  <c r="O125" i="1"/>
  <c r="O133" i="1"/>
  <c r="O120" i="1"/>
  <c r="O129" i="1"/>
  <c r="O204" i="1"/>
  <c r="O114" i="1"/>
  <c r="O124" i="1"/>
  <c r="O128" i="1"/>
  <c r="O132" i="1"/>
  <c r="O137" i="1"/>
  <c r="O199" i="1"/>
  <c r="O111" i="1"/>
  <c r="O123" i="1"/>
  <c r="O127" i="1"/>
  <c r="O131" i="1"/>
  <c r="O135" i="1"/>
  <c r="O225" i="1"/>
  <c r="O183" i="1"/>
  <c r="O203" i="1"/>
  <c r="O208" i="1"/>
  <c r="O212" i="1"/>
  <c r="O181" i="1"/>
  <c r="O192" i="1"/>
  <c r="O196" i="1"/>
  <c r="O207" i="1"/>
  <c r="O191" i="1"/>
  <c r="O200" i="1"/>
  <c r="O211" i="1"/>
  <c r="O215" i="1"/>
  <c r="O195" i="1"/>
  <c r="O176" i="1"/>
  <c r="O188" i="1"/>
  <c r="O194" i="1"/>
  <c r="O198" i="1"/>
  <c r="O202" i="1"/>
  <c r="O206" i="1"/>
  <c r="O210" i="1"/>
  <c r="O214" i="1"/>
  <c r="O170" i="1"/>
  <c r="N443" i="1" l="1"/>
  <c r="N442" i="1"/>
  <c r="N441" i="1"/>
  <c r="N440" i="1"/>
  <c r="N438" i="1"/>
  <c r="N437" i="1"/>
  <c r="N436" i="1"/>
  <c r="N435" i="1"/>
  <c r="N434" i="1"/>
  <c r="N433" i="1"/>
  <c r="N439" i="1"/>
  <c r="N229" i="1"/>
  <c r="N228" i="1"/>
  <c r="N227"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3" i="1"/>
  <c r="N181" i="1"/>
  <c r="N179" i="1"/>
  <c r="N177" i="1"/>
  <c r="N176" i="1"/>
  <c r="N175" i="1"/>
  <c r="N173" i="1"/>
  <c r="N171" i="1"/>
  <c r="N170" i="1"/>
  <c r="N169" i="1"/>
  <c r="N168" i="1"/>
  <c r="N167" i="1"/>
  <c r="N166" i="1"/>
  <c r="N165" i="1"/>
  <c r="N164" i="1"/>
  <c r="N163" i="1"/>
  <c r="N162" i="1"/>
  <c r="N161" i="1"/>
  <c r="N160" i="1"/>
  <c r="N159" i="1"/>
  <c r="N158" i="1"/>
  <c r="N157" i="1"/>
  <c r="N156" i="1"/>
  <c r="N155" i="1"/>
  <c r="N154" i="1"/>
  <c r="N153" i="1"/>
  <c r="N152" i="1"/>
  <c r="N151" i="1"/>
  <c r="N149" i="1"/>
  <c r="N148" i="1"/>
  <c r="N147" i="1"/>
  <c r="N146" i="1"/>
  <c r="N145" i="1"/>
  <c r="N144" i="1"/>
  <c r="N143" i="1"/>
  <c r="N142" i="1"/>
  <c r="N141" i="1"/>
  <c r="N140"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7" i="1"/>
  <c r="N106" i="1"/>
  <c r="N105" i="1"/>
  <c r="N104" i="1"/>
  <c r="N103" i="1"/>
  <c r="N102" i="1"/>
  <c r="N101" i="1"/>
  <c r="N100" i="1"/>
  <c r="N99" i="1"/>
  <c r="N98" i="1"/>
  <c r="N97" i="1"/>
  <c r="N96" i="1"/>
  <c r="N95" i="1"/>
  <c r="N94" i="1"/>
  <c r="N93" i="1"/>
  <c r="N92" i="1"/>
  <c r="N139" i="1"/>
  <c r="N108" i="1"/>
  <c r="K178" i="1" l="1"/>
  <c r="R4" i="1"/>
  <c r="R3" i="1"/>
  <c r="R5" i="1" l="1"/>
  <c r="P3" i="1" l="1"/>
  <c r="P4" i="1"/>
  <c r="P6" i="1" l="1"/>
  <c r="K442" i="1"/>
  <c r="K441" i="1"/>
  <c r="K440" i="1"/>
  <c r="K439" i="1"/>
  <c r="K438" i="1"/>
  <c r="K437" i="1"/>
  <c r="K436" i="1"/>
  <c r="K435" i="1"/>
  <c r="K434" i="1"/>
  <c r="K433" i="1"/>
  <c r="D428" i="1" l="1"/>
  <c r="C3" i="4" l="1"/>
  <c r="C2" i="4"/>
  <c r="C3" i="2"/>
  <c r="C2" i="3" s="1"/>
  <c r="C3" i="3"/>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F6" i="4"/>
  <c r="G6" i="4"/>
  <c r="E60" i="4" l="1"/>
  <c r="E56" i="4"/>
  <c r="E231" i="4"/>
  <c r="E230" i="4"/>
  <c r="E229" i="4"/>
  <c r="E228" i="4"/>
  <c r="E227" i="4"/>
  <c r="E226" i="4"/>
  <c r="E225" i="4"/>
  <c r="E224" i="4"/>
  <c r="E223" i="4"/>
  <c r="E222" i="4"/>
  <c r="E221" i="4"/>
  <c r="E220" i="4"/>
  <c r="E219" i="4"/>
  <c r="E218" i="4"/>
  <c r="E217" i="4"/>
  <c r="E215" i="4"/>
  <c r="E214" i="4"/>
  <c r="E213" i="4"/>
  <c r="E212" i="4"/>
  <c r="E211" i="4"/>
  <c r="E210" i="4"/>
  <c r="E209" i="4"/>
  <c r="E208" i="4"/>
  <c r="E207" i="4"/>
  <c r="E205" i="4"/>
  <c r="E204" i="4"/>
  <c r="E202" i="4"/>
  <c r="E201" i="4"/>
  <c r="E200" i="4"/>
  <c r="E199" i="4"/>
  <c r="E198" i="4"/>
  <c r="E197" i="4"/>
  <c r="E196" i="4"/>
  <c r="E195" i="4"/>
  <c r="E194" i="4"/>
  <c r="E193" i="4"/>
  <c r="E192" i="4"/>
  <c r="E191" i="4"/>
  <c r="E190" i="4"/>
  <c r="E189" i="4"/>
  <c r="E188" i="4"/>
  <c r="E187" i="4"/>
  <c r="E186" i="4"/>
  <c r="E185" i="4"/>
  <c r="E184" i="4"/>
  <c r="E183" i="4"/>
  <c r="E182" i="4"/>
  <c r="E181" i="4"/>
  <c r="E180" i="4"/>
  <c r="E179" i="4"/>
  <c r="E177" i="4"/>
  <c r="E174"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59" i="4"/>
  <c r="E58" i="4"/>
  <c r="E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F19" i="2"/>
  <c r="F18" i="2"/>
  <c r="F17" i="2"/>
  <c r="F16" i="2"/>
  <c r="F15" i="2"/>
  <c r="F14" i="2"/>
  <c r="F13" i="2"/>
  <c r="F12" i="2"/>
  <c r="F11" i="2"/>
  <c r="F10" i="2"/>
  <c r="F9" i="2"/>
  <c r="F8" i="2"/>
  <c r="F7" i="2"/>
  <c r="F6" i="2"/>
  <c r="E19" i="2"/>
  <c r="E18" i="2"/>
  <c r="E17" i="2"/>
  <c r="E16" i="2"/>
  <c r="E15" i="2"/>
  <c r="E14" i="2"/>
  <c r="E13" i="2"/>
  <c r="E12" i="2"/>
  <c r="E11" i="2"/>
  <c r="E10" i="2"/>
  <c r="E9" i="2"/>
  <c r="E8" i="2"/>
  <c r="E7" i="2"/>
  <c r="E6" i="2"/>
  <c r="E3" i="4" l="1"/>
  <c r="E1" i="4"/>
  <c r="AB229" i="1"/>
  <c r="X229" i="1"/>
  <c r="W229" i="1"/>
  <c r="F229" i="1"/>
  <c r="E229" i="1"/>
  <c r="AB228" i="1"/>
  <c r="X228" i="1"/>
  <c r="W228" i="1"/>
  <c r="F228" i="1"/>
  <c r="E228" i="1"/>
  <c r="AB227" i="1"/>
  <c r="X227" i="1"/>
  <c r="W227" i="1"/>
  <c r="F227" i="1"/>
  <c r="E227" i="1"/>
  <c r="AB226" i="1"/>
  <c r="X226" i="1"/>
  <c r="W226" i="1"/>
  <c r="F226" i="1"/>
  <c r="E226" i="1"/>
  <c r="AB225" i="1"/>
  <c r="X225" i="1"/>
  <c r="W225" i="1"/>
  <c r="F225" i="1"/>
  <c r="E225" i="1"/>
  <c r="K211" i="1"/>
  <c r="K210" i="1"/>
  <c r="K209" i="1"/>
  <c r="K208" i="1"/>
  <c r="K207" i="1"/>
  <c r="K206" i="1"/>
  <c r="K205" i="1"/>
  <c r="K204" i="1"/>
  <c r="K203" i="1"/>
  <c r="K202" i="1"/>
  <c r="K201" i="1"/>
  <c r="K199" i="1"/>
  <c r="K191" i="1"/>
  <c r="K190" i="1"/>
  <c r="K189" i="1"/>
  <c r="K188" i="1"/>
  <c r="K187" i="1"/>
  <c r="K186" i="1"/>
  <c r="K185" i="1"/>
  <c r="K184" i="1"/>
  <c r="K183" i="1"/>
  <c r="K182" i="1"/>
  <c r="K181" i="1"/>
  <c r="K180" i="1"/>
  <c r="K179" i="1"/>
  <c r="K177" i="1"/>
  <c r="K176" i="1"/>
  <c r="K175" i="1"/>
  <c r="K174" i="1"/>
  <c r="K173" i="1"/>
  <c r="K172" i="1"/>
  <c r="K170" i="1"/>
  <c r="K169" i="1"/>
  <c r="K168" i="1"/>
  <c r="K167" i="1"/>
  <c r="K166" i="1"/>
  <c r="K165" i="1"/>
  <c r="K164" i="1"/>
  <c r="AB157" i="1"/>
  <c r="X157" i="1"/>
  <c r="W157" i="1"/>
  <c r="F157" i="1"/>
  <c r="E157" i="1"/>
  <c r="AB145" i="1"/>
  <c r="X145" i="1"/>
  <c r="W145" i="1"/>
  <c r="F145" i="1"/>
  <c r="E145" i="1"/>
  <c r="AB144" i="1"/>
  <c r="X144" i="1"/>
  <c r="W144" i="1"/>
  <c r="F144" i="1"/>
  <c r="E144" i="1"/>
  <c r="AB143" i="1"/>
  <c r="X143" i="1"/>
  <c r="W143" i="1"/>
  <c r="F143" i="1"/>
  <c r="E143" i="1"/>
  <c r="AB142" i="1"/>
  <c r="X142" i="1"/>
  <c r="W142" i="1"/>
  <c r="F142" i="1"/>
  <c r="E142" i="1"/>
  <c r="AB141" i="1"/>
  <c r="X141" i="1"/>
  <c r="W141" i="1"/>
  <c r="F141" i="1"/>
  <c r="E141" i="1"/>
  <c r="F128" i="1"/>
  <c r="AB138" i="1"/>
  <c r="X138" i="1"/>
  <c r="W138" i="1"/>
  <c r="F138" i="1"/>
  <c r="E138" i="1"/>
  <c r="AB137" i="1"/>
  <c r="X137" i="1"/>
  <c r="W137" i="1"/>
  <c r="F137" i="1"/>
  <c r="E137" i="1"/>
  <c r="AB136" i="1"/>
  <c r="X136" i="1"/>
  <c r="W136" i="1"/>
  <c r="F136" i="1"/>
  <c r="E136" i="1"/>
  <c r="AB135" i="1"/>
  <c r="X135" i="1"/>
  <c r="W135" i="1"/>
  <c r="F135" i="1"/>
  <c r="E135" i="1"/>
  <c r="AB134" i="1"/>
  <c r="X134" i="1"/>
  <c r="W134" i="1"/>
  <c r="F134" i="1"/>
  <c r="E134" i="1"/>
  <c r="AB133" i="1"/>
  <c r="X133" i="1"/>
  <c r="W133" i="1"/>
  <c r="F133" i="1"/>
  <c r="E133" i="1"/>
  <c r="AB132" i="1"/>
  <c r="X132" i="1"/>
  <c r="W132" i="1"/>
  <c r="F132" i="1"/>
  <c r="E132" i="1"/>
  <c r="AB131" i="1"/>
  <c r="X131" i="1"/>
  <c r="W131" i="1"/>
  <c r="F131" i="1"/>
  <c r="E131" i="1"/>
  <c r="AB130" i="1"/>
  <c r="X130" i="1"/>
  <c r="W130" i="1"/>
  <c r="F130" i="1"/>
  <c r="E130" i="1"/>
  <c r="AB129" i="1"/>
  <c r="X129" i="1"/>
  <c r="W129" i="1"/>
  <c r="F129" i="1"/>
  <c r="E129" i="1"/>
  <c r="AB126" i="1"/>
  <c r="X126" i="1"/>
  <c r="W126" i="1"/>
  <c r="F126" i="1"/>
  <c r="E126" i="1"/>
  <c r="AB125" i="1"/>
  <c r="X125" i="1"/>
  <c r="W125" i="1"/>
  <c r="F125" i="1"/>
  <c r="E125" i="1"/>
  <c r="AB124" i="1"/>
  <c r="X124" i="1"/>
  <c r="W124" i="1"/>
  <c r="F124" i="1"/>
  <c r="E124" i="1"/>
  <c r="AB123" i="1"/>
  <c r="X123" i="1"/>
  <c r="W123" i="1"/>
  <c r="F123" i="1"/>
  <c r="E123" i="1"/>
  <c r="AB122" i="1"/>
  <c r="X122" i="1"/>
  <c r="W122" i="1"/>
  <c r="F122" i="1"/>
  <c r="E122" i="1"/>
  <c r="AB121" i="1"/>
  <c r="X121" i="1"/>
  <c r="W121" i="1"/>
  <c r="F121" i="1"/>
  <c r="E121" i="1"/>
  <c r="AB120" i="1"/>
  <c r="X120" i="1"/>
  <c r="W120" i="1"/>
  <c r="F120" i="1"/>
  <c r="E120" i="1"/>
  <c r="AB119" i="1"/>
  <c r="X119" i="1"/>
  <c r="W119" i="1"/>
  <c r="F119" i="1"/>
  <c r="E119" i="1"/>
  <c r="AB118" i="1"/>
  <c r="X118" i="1"/>
  <c r="W118" i="1"/>
  <c r="F118" i="1"/>
  <c r="E118" i="1"/>
  <c r="AB117" i="1"/>
  <c r="X117" i="1"/>
  <c r="W117" i="1"/>
  <c r="F117" i="1"/>
  <c r="E117" i="1"/>
  <c r="AB115" i="1"/>
  <c r="X115" i="1"/>
  <c r="W115" i="1"/>
  <c r="F115" i="1"/>
  <c r="E115" i="1"/>
  <c r="AB114" i="1"/>
  <c r="X114" i="1"/>
  <c r="W114" i="1"/>
  <c r="F114" i="1"/>
  <c r="E114" i="1"/>
  <c r="AB113" i="1"/>
  <c r="X113" i="1"/>
  <c r="W113" i="1"/>
  <c r="F113" i="1"/>
  <c r="E113" i="1"/>
  <c r="AB112" i="1"/>
  <c r="X112" i="1"/>
  <c r="W112" i="1"/>
  <c r="F112" i="1"/>
  <c r="E112" i="1"/>
  <c r="AB111" i="1"/>
  <c r="X111" i="1"/>
  <c r="W111" i="1"/>
  <c r="F111" i="1"/>
  <c r="E111" i="1"/>
  <c r="AB110" i="1"/>
  <c r="X110" i="1"/>
  <c r="W110" i="1"/>
  <c r="F110" i="1"/>
  <c r="E110" i="1"/>
  <c r="AB109" i="1"/>
  <c r="X109" i="1"/>
  <c r="W109" i="1"/>
  <c r="F109" i="1"/>
  <c r="E109" i="1"/>
  <c r="AB108" i="1"/>
  <c r="X108" i="1"/>
  <c r="W108" i="1"/>
  <c r="F108" i="1"/>
  <c r="E108" i="1"/>
  <c r="AB107" i="1"/>
  <c r="X107" i="1"/>
  <c r="W107" i="1"/>
  <c r="F107" i="1"/>
  <c r="E107" i="1"/>
  <c r="AB106" i="1"/>
  <c r="X106" i="1"/>
  <c r="W106" i="1"/>
  <c r="F106" i="1"/>
  <c r="E106" i="1"/>
  <c r="AB105" i="1"/>
  <c r="X105" i="1"/>
  <c r="W105" i="1"/>
  <c r="F105" i="1"/>
  <c r="E105" i="1"/>
  <c r="AB104" i="1"/>
  <c r="X104" i="1"/>
  <c r="W104" i="1"/>
  <c r="F104" i="1"/>
  <c r="E104" i="1"/>
  <c r="AB103" i="1"/>
  <c r="X103" i="1"/>
  <c r="W103" i="1"/>
  <c r="F103" i="1"/>
  <c r="E103" i="1"/>
  <c r="AB102" i="1"/>
  <c r="X102" i="1"/>
  <c r="W102" i="1"/>
  <c r="F102" i="1"/>
  <c r="E102" i="1"/>
  <c r="AB101" i="1"/>
  <c r="X101" i="1"/>
  <c r="W101" i="1"/>
  <c r="F101" i="1"/>
  <c r="E101" i="1"/>
  <c r="AB100" i="1"/>
  <c r="X100" i="1"/>
  <c r="W100" i="1"/>
  <c r="F100" i="1"/>
  <c r="E100" i="1"/>
  <c r="AB99" i="1"/>
  <c r="X99" i="1"/>
  <c r="W99" i="1"/>
  <c r="F99" i="1"/>
  <c r="E99" i="1"/>
  <c r="AB98" i="1"/>
  <c r="X98" i="1"/>
  <c r="W98" i="1"/>
  <c r="F98" i="1"/>
  <c r="E98" i="1"/>
  <c r="AB97" i="1"/>
  <c r="X97" i="1"/>
  <c r="W97" i="1"/>
  <c r="F97" i="1"/>
  <c r="E97" i="1"/>
  <c r="AB96" i="1"/>
  <c r="X96" i="1"/>
  <c r="W96" i="1"/>
  <c r="F96" i="1"/>
  <c r="E96" i="1"/>
  <c r="AB95" i="1"/>
  <c r="X95" i="1"/>
  <c r="W95" i="1"/>
  <c r="F95" i="1"/>
  <c r="E95" i="1"/>
  <c r="AB94" i="1"/>
  <c r="X94" i="1"/>
  <c r="W94" i="1"/>
  <c r="F94" i="1"/>
  <c r="E94" i="1"/>
  <c r="AB93" i="1"/>
  <c r="X93" i="1"/>
  <c r="W93" i="1"/>
  <c r="F93" i="1"/>
  <c r="E93" i="1"/>
  <c r="AB92" i="1"/>
  <c r="X92" i="1"/>
  <c r="W92" i="1"/>
  <c r="F92" i="1"/>
  <c r="E92" i="1"/>
  <c r="AB91" i="1"/>
  <c r="X91" i="1"/>
  <c r="W91" i="1"/>
  <c r="F91" i="1"/>
  <c r="E91" i="1"/>
  <c r="AB90" i="1"/>
  <c r="X90" i="1"/>
  <c r="W90" i="1"/>
  <c r="F90" i="1"/>
  <c r="E90" i="1"/>
  <c r="AB89" i="1"/>
  <c r="X89" i="1"/>
  <c r="W89" i="1"/>
  <c r="F89" i="1"/>
  <c r="E89" i="1"/>
  <c r="AB88" i="1"/>
  <c r="X88" i="1"/>
  <c r="W88" i="1"/>
  <c r="F88" i="1"/>
  <c r="E88" i="1"/>
  <c r="AB87" i="1"/>
  <c r="X87" i="1"/>
  <c r="W87" i="1"/>
  <c r="F87" i="1"/>
  <c r="E87" i="1"/>
  <c r="AB86" i="1"/>
  <c r="X86" i="1"/>
  <c r="W86" i="1"/>
  <c r="F86" i="1"/>
  <c r="E86" i="1"/>
  <c r="AB85" i="1"/>
  <c r="X85" i="1"/>
  <c r="W85" i="1"/>
  <c r="F85" i="1"/>
  <c r="E85" i="1"/>
  <c r="AB83" i="1"/>
  <c r="X83" i="1"/>
  <c r="W83" i="1"/>
  <c r="F83" i="1"/>
  <c r="E83" i="1"/>
  <c r="AB82" i="1"/>
  <c r="X82" i="1"/>
  <c r="W82" i="1"/>
  <c r="F82" i="1"/>
  <c r="E82" i="1"/>
  <c r="AB81" i="1"/>
  <c r="X81" i="1"/>
  <c r="W81" i="1"/>
  <c r="F81" i="1"/>
  <c r="E81" i="1"/>
  <c r="AB80" i="1"/>
  <c r="X80" i="1"/>
  <c r="W80" i="1"/>
  <c r="F80" i="1"/>
  <c r="E80" i="1"/>
  <c r="AB79" i="1"/>
  <c r="X79" i="1"/>
  <c r="W79" i="1"/>
  <c r="F79" i="1"/>
  <c r="E79" i="1"/>
  <c r="AB78" i="1"/>
  <c r="X78" i="1"/>
  <c r="W78" i="1"/>
  <c r="F78" i="1"/>
  <c r="E78" i="1"/>
  <c r="AB77" i="1"/>
  <c r="X77" i="1"/>
  <c r="W77" i="1"/>
  <c r="F77" i="1"/>
  <c r="E77" i="1"/>
  <c r="AB76" i="1"/>
  <c r="X76" i="1"/>
  <c r="W76" i="1"/>
  <c r="F76" i="1"/>
  <c r="E76" i="1"/>
  <c r="AB75" i="1"/>
  <c r="X75" i="1"/>
  <c r="W75" i="1"/>
  <c r="F75" i="1"/>
  <c r="E75" i="1"/>
  <c r="AB74" i="1"/>
  <c r="X74" i="1"/>
  <c r="W74" i="1"/>
  <c r="F74" i="1"/>
  <c r="E74" i="1"/>
  <c r="AB73" i="1"/>
  <c r="X73" i="1"/>
  <c r="W73" i="1"/>
  <c r="F73" i="1"/>
  <c r="E73" i="1"/>
  <c r="AB72" i="1"/>
  <c r="X72" i="1"/>
  <c r="W72" i="1"/>
  <c r="F72" i="1"/>
  <c r="E72" i="1"/>
  <c r="AB71" i="1"/>
  <c r="X71" i="1"/>
  <c r="W71" i="1"/>
  <c r="F71" i="1"/>
  <c r="E71" i="1"/>
  <c r="AB70" i="1"/>
  <c r="X70" i="1"/>
  <c r="W70" i="1"/>
  <c r="F70" i="1"/>
  <c r="E70" i="1"/>
  <c r="AB69" i="1"/>
  <c r="X69" i="1"/>
  <c r="W69" i="1"/>
  <c r="F69" i="1"/>
  <c r="E69" i="1"/>
  <c r="AB68" i="1"/>
  <c r="X68" i="1"/>
  <c r="W68" i="1"/>
  <c r="F68" i="1"/>
  <c r="E68" i="1"/>
  <c r="AB67" i="1"/>
  <c r="X67" i="1"/>
  <c r="W67" i="1"/>
  <c r="F67" i="1"/>
  <c r="E67" i="1"/>
  <c r="AB66" i="1"/>
  <c r="X66" i="1"/>
  <c r="W66" i="1"/>
  <c r="F66" i="1"/>
  <c r="E66" i="1"/>
  <c r="AB62" i="1" l="1"/>
  <c r="X62" i="1"/>
  <c r="W62" i="1"/>
  <c r="F62" i="1"/>
  <c r="E62" i="1"/>
  <c r="E7" i="3"/>
  <c r="E8" i="3"/>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6" i="3"/>
  <c r="E1" i="3" l="1"/>
  <c r="E3" i="3"/>
  <c r="AB445" i="1" l="1"/>
  <c r="W445" i="1"/>
  <c r="AB444" i="1"/>
  <c r="W444" i="1"/>
  <c r="AB443" i="1"/>
  <c r="W443" i="1"/>
  <c r="AB442" i="1"/>
  <c r="W442" i="1"/>
  <c r="AC442" i="1" l="1"/>
  <c r="AC443" i="1"/>
  <c r="AC445" i="1"/>
  <c r="AC444" i="1"/>
  <c r="AF451" i="1" l="1"/>
  <c r="AF450" i="1"/>
  <c r="AF428" i="1"/>
  <c r="AF6" i="1"/>
  <c r="AF4" i="1"/>
  <c r="AE451" i="1"/>
  <c r="AE450" i="1"/>
  <c r="AE428" i="1"/>
  <c r="AE6" i="1"/>
  <c r="AE4" i="1"/>
  <c r="AF7" i="1" l="1"/>
  <c r="AF8" i="1" s="1"/>
  <c r="AE7" i="1"/>
  <c r="AE8" i="1" s="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c r="X166" i="1"/>
  <c r="X165" i="1"/>
  <c r="X164" i="1"/>
  <c r="X163" i="1"/>
  <c r="X162" i="1"/>
  <c r="X161" i="1"/>
  <c r="X160" i="1"/>
  <c r="X159" i="1"/>
  <c r="X158" i="1"/>
  <c r="X156" i="1"/>
  <c r="X155" i="1"/>
  <c r="X154" i="1"/>
  <c r="X153" i="1"/>
  <c r="X152" i="1"/>
  <c r="X151" i="1"/>
  <c r="X150" i="1"/>
  <c r="X149" i="1"/>
  <c r="X148" i="1"/>
  <c r="X147" i="1"/>
  <c r="X146" i="1"/>
  <c r="X140" i="1"/>
  <c r="X128" i="1"/>
  <c r="X139" i="1"/>
  <c r="X127" i="1"/>
  <c r="X116" i="1"/>
  <c r="X84" i="1"/>
  <c r="X64" i="1"/>
  <c r="X65" i="1"/>
  <c r="X63"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V427" i="1" l="1"/>
  <c r="V426" i="1"/>
  <c r="V425" i="1"/>
  <c r="V424" i="1"/>
  <c r="V423" i="1"/>
  <c r="V422" i="1"/>
  <c r="V421" i="1"/>
  <c r="V420" i="1"/>
  <c r="V419" i="1"/>
  <c r="V418" i="1"/>
  <c r="V417" i="1"/>
  <c r="V416" i="1"/>
  <c r="V415" i="1"/>
  <c r="V414" i="1"/>
  <c r="V413" i="1"/>
  <c r="V412" i="1"/>
  <c r="V411" i="1"/>
  <c r="V410" i="1"/>
  <c r="V409" i="1"/>
  <c r="V408" i="1"/>
  <c r="V407" i="1"/>
  <c r="V406" i="1"/>
  <c r="V405" i="1"/>
  <c r="X3" i="1" l="1"/>
  <c r="AB224" i="1" l="1"/>
  <c r="AB223" i="1"/>
  <c r="AB222" i="1"/>
  <c r="AB221" i="1"/>
  <c r="AB220" i="1"/>
  <c r="AB219" i="1"/>
  <c r="AB218" i="1" l="1"/>
  <c r="AB217" i="1"/>
  <c r="L7" i="1"/>
  <c r="S7" i="1" s="1"/>
  <c r="AB216" i="1"/>
  <c r="AB215" i="1"/>
  <c r="AB214" i="1"/>
  <c r="W214" i="1"/>
  <c r="F214" i="1"/>
  <c r="E214" i="1"/>
  <c r="AB213" i="1"/>
  <c r="AB212" i="1"/>
  <c r="AB211" i="1"/>
  <c r="AB210" i="1"/>
  <c r="AB209" i="1" l="1"/>
  <c r="AB208" i="1" l="1"/>
  <c r="AB207" i="1" l="1"/>
  <c r="AB206" i="1"/>
  <c r="AB205" i="1" l="1"/>
  <c r="AB204" i="1"/>
  <c r="AB203" i="1"/>
  <c r="AB202" i="1"/>
  <c r="AB201" i="1"/>
  <c r="AB200" i="1"/>
  <c r="F204" i="1"/>
  <c r="E204" i="1"/>
  <c r="AB199" i="1" l="1"/>
  <c r="AB198" i="1"/>
  <c r="AB197" i="1"/>
  <c r="AB196" i="1" l="1"/>
  <c r="AB195" i="1"/>
  <c r="AB194" i="1"/>
  <c r="AB193" i="1" l="1"/>
  <c r="AB192" i="1"/>
  <c r="AB191" i="1"/>
  <c r="AB187" i="1" l="1"/>
  <c r="AB186" i="1"/>
  <c r="F449" i="1" l="1"/>
  <c r="E449" i="1"/>
  <c r="F447" i="1"/>
  <c r="E447" i="1"/>
  <c r="AB150" i="1" l="1"/>
  <c r="F426" i="1" l="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F224" i="1"/>
  <c r="E224" i="1"/>
  <c r="F223" i="1"/>
  <c r="E223" i="1"/>
  <c r="F222" i="1"/>
  <c r="E222" i="1"/>
  <c r="F221" i="1"/>
  <c r="E221" i="1"/>
  <c r="F220" i="1"/>
  <c r="E220" i="1"/>
  <c r="F219" i="1"/>
  <c r="E219" i="1"/>
  <c r="F218" i="1"/>
  <c r="E218" i="1"/>
  <c r="F217" i="1"/>
  <c r="E217" i="1"/>
  <c r="F216" i="1"/>
  <c r="E216" i="1"/>
  <c r="F215" i="1"/>
  <c r="E215" i="1"/>
  <c r="F213" i="1"/>
  <c r="E213" i="1"/>
  <c r="F212" i="1"/>
  <c r="E212" i="1"/>
  <c r="F211" i="1"/>
  <c r="E211" i="1"/>
  <c r="F210" i="1"/>
  <c r="E210" i="1"/>
  <c r="F209" i="1"/>
  <c r="E209" i="1"/>
  <c r="F208" i="1"/>
  <c r="E208" i="1"/>
  <c r="F207" i="1"/>
  <c r="E207" i="1"/>
  <c r="F206" i="1"/>
  <c r="E206" i="1"/>
  <c r="F205" i="1"/>
  <c r="E205"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5" i="1"/>
  <c r="E165" i="1"/>
  <c r="F164" i="1"/>
  <c r="E164" i="1"/>
  <c r="F163" i="1"/>
  <c r="E163" i="1"/>
  <c r="F162" i="1"/>
  <c r="E162" i="1"/>
  <c r="F161" i="1"/>
  <c r="E161" i="1"/>
  <c r="F160" i="1"/>
  <c r="E160" i="1"/>
  <c r="F159" i="1"/>
  <c r="E159" i="1"/>
  <c r="F158" i="1"/>
  <c r="E158" i="1"/>
  <c r="F156" i="1"/>
  <c r="E156" i="1"/>
  <c r="F155" i="1"/>
  <c r="E155" i="1"/>
  <c r="F154" i="1"/>
  <c r="E154" i="1"/>
  <c r="F153" i="1"/>
  <c r="E153" i="1"/>
  <c r="F152" i="1"/>
  <c r="E152" i="1"/>
  <c r="F151" i="1"/>
  <c r="E151" i="1"/>
  <c r="F150" i="1"/>
  <c r="E150" i="1"/>
  <c r="F149" i="1"/>
  <c r="E149" i="1"/>
  <c r="F148" i="1"/>
  <c r="E148" i="1"/>
  <c r="F147" i="1"/>
  <c r="E147" i="1"/>
  <c r="F146" i="1"/>
  <c r="E146" i="1"/>
  <c r="F140" i="1"/>
  <c r="E140" i="1"/>
  <c r="E128" i="1"/>
  <c r="F139" i="1"/>
  <c r="E139" i="1"/>
  <c r="F127" i="1"/>
  <c r="E127" i="1"/>
  <c r="F116" i="1"/>
  <c r="E116" i="1"/>
  <c r="F84" i="1"/>
  <c r="E84" i="1"/>
  <c r="F64" i="1"/>
  <c r="E64" i="1"/>
  <c r="F65" i="1"/>
  <c r="E65" i="1"/>
  <c r="F63" i="1"/>
  <c r="E63"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AD451" i="1"/>
  <c r="AD450" i="1"/>
  <c r="AD428" i="1"/>
  <c r="AC451" i="1"/>
  <c r="AC450" i="1"/>
  <c r="AC428" i="1"/>
  <c r="AC427" i="1"/>
  <c r="AB427" i="1"/>
  <c r="AB449" i="1"/>
  <c r="AC449" i="1" s="1"/>
  <c r="AB447" i="1"/>
  <c r="AC447" i="1" s="1"/>
  <c r="AB446" i="1"/>
  <c r="AC446" i="1" s="1"/>
  <c r="AB441" i="1"/>
  <c r="AC441" i="1" s="1"/>
  <c r="AB440" i="1"/>
  <c r="AC440" i="1" s="1"/>
  <c r="AB439" i="1"/>
  <c r="AC439" i="1" s="1"/>
  <c r="AB438" i="1"/>
  <c r="AC438" i="1" s="1"/>
  <c r="AB437" i="1"/>
  <c r="AB436" i="1"/>
  <c r="AB435" i="1"/>
  <c r="AB434" i="1"/>
  <c r="AB433" i="1"/>
  <c r="AB426" i="1"/>
  <c r="AB425" i="1"/>
  <c r="AB424" i="1"/>
  <c r="AB423" i="1"/>
  <c r="AB422" i="1"/>
  <c r="AB421" i="1"/>
  <c r="AB420" i="1"/>
  <c r="AB419" i="1"/>
  <c r="AB418" i="1"/>
  <c r="AB417" i="1"/>
  <c r="AB416" i="1"/>
  <c r="AB415" i="1"/>
  <c r="AB414" i="1"/>
  <c r="AB413" i="1"/>
  <c r="AB412" i="1"/>
  <c r="AB411" i="1"/>
  <c r="AB410" i="1"/>
  <c r="AB409" i="1"/>
  <c r="AB408" i="1"/>
  <c r="AB407" i="1"/>
  <c r="AB406" i="1"/>
  <c r="AB405" i="1"/>
  <c r="AB190" i="1"/>
  <c r="AB189" i="1"/>
  <c r="AB188" i="1"/>
  <c r="AB185" i="1"/>
  <c r="AB184" i="1"/>
  <c r="AB183" i="1"/>
  <c r="AB182" i="1"/>
  <c r="AB181" i="1"/>
  <c r="AB180" i="1"/>
  <c r="AB179" i="1"/>
  <c r="AB178" i="1"/>
  <c r="AB177" i="1"/>
  <c r="AB176" i="1"/>
  <c r="AB175" i="1"/>
  <c r="AB174" i="1"/>
  <c r="AB173" i="1"/>
  <c r="AB172" i="1"/>
  <c r="AB171" i="1"/>
  <c r="AB170" i="1"/>
  <c r="AB169" i="1"/>
  <c r="AB168" i="1"/>
  <c r="AB167" i="1"/>
  <c r="AB166" i="1"/>
  <c r="AB165" i="1"/>
  <c r="AB164" i="1"/>
  <c r="AB163" i="1"/>
  <c r="AB162" i="1"/>
  <c r="AB161" i="1"/>
  <c r="AB160" i="1"/>
  <c r="AB159" i="1"/>
  <c r="AB158" i="1"/>
  <c r="AB156" i="1"/>
  <c r="AB155" i="1"/>
  <c r="AB154" i="1"/>
  <c r="AB153" i="1"/>
  <c r="AB152" i="1"/>
  <c r="AB151" i="1"/>
  <c r="AB149" i="1"/>
  <c r="AB148" i="1"/>
  <c r="AB147" i="1"/>
  <c r="AB146" i="1"/>
  <c r="AB140" i="1"/>
  <c r="AB128" i="1"/>
  <c r="AB139" i="1"/>
  <c r="AB127" i="1"/>
  <c r="AB116" i="1"/>
  <c r="AB84" i="1"/>
  <c r="AB64" i="1"/>
  <c r="AB65" i="1"/>
  <c r="AB63"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D4" i="1" s="1"/>
  <c r="AB26" i="1"/>
  <c r="AB25" i="1"/>
  <c r="AB24" i="1"/>
  <c r="AB23" i="1"/>
  <c r="AB22" i="1"/>
  <c r="AB21" i="1"/>
  <c r="AB20" i="1"/>
  <c r="AB19" i="1"/>
  <c r="AB18" i="1"/>
  <c r="AB17" i="1"/>
  <c r="AB16" i="1"/>
  <c r="AB15" i="1"/>
  <c r="AB14" i="1"/>
  <c r="AB13" i="1"/>
  <c r="AB12" i="1"/>
  <c r="AA428" i="1"/>
  <c r="AA450" i="1"/>
  <c r="Z15" i="1"/>
  <c r="AC406" i="1" l="1"/>
  <c r="AC410" i="1"/>
  <c r="AC414" i="1"/>
  <c r="AC418" i="1"/>
  <c r="AC422" i="1"/>
  <c r="AC426" i="1"/>
  <c r="AC408" i="1"/>
  <c r="AC412" i="1"/>
  <c r="AC416" i="1"/>
  <c r="AC420" i="1"/>
  <c r="AC424" i="1"/>
  <c r="AC405" i="1"/>
  <c r="AC409" i="1"/>
  <c r="AC417" i="1"/>
  <c r="AC421" i="1"/>
  <c r="AC425" i="1"/>
  <c r="AC415" i="1"/>
  <c r="AC419" i="1"/>
  <c r="AC413" i="1"/>
  <c r="AC407" i="1"/>
  <c r="AC411" i="1"/>
  <c r="AC423" i="1"/>
  <c r="AD6" i="1"/>
  <c r="AD7" i="1" s="1"/>
  <c r="AD8" i="1" s="1"/>
  <c r="AA4" i="1"/>
  <c r="AA5" i="1"/>
  <c r="AA451" i="1"/>
  <c r="Z14" i="1"/>
  <c r="AC2" i="1" l="1"/>
  <c r="AC6" i="1"/>
  <c r="AC5" i="1"/>
  <c r="AC4" i="1"/>
  <c r="AC3" i="1"/>
  <c r="AA6" i="1"/>
  <c r="M5" i="1"/>
  <c r="M4" i="1"/>
  <c r="M3" i="1"/>
  <c r="M6" i="1"/>
  <c r="AB8" i="1" l="1"/>
  <c r="AC8" i="1"/>
  <c r="M7" i="1"/>
  <c r="M8" i="1" s="1"/>
  <c r="AA8" i="1" l="1"/>
  <c r="W451" i="1"/>
  <c r="W450" i="1"/>
  <c r="W449" i="1"/>
  <c r="W447" i="1"/>
  <c r="W446" i="1"/>
  <c r="W441" i="1"/>
  <c r="W440" i="1"/>
  <c r="W439" i="1"/>
  <c r="W438" i="1"/>
  <c r="W437" i="1"/>
  <c r="W436" i="1"/>
  <c r="W435" i="1"/>
  <c r="W434" i="1"/>
  <c r="W433" i="1"/>
  <c r="W432" i="1"/>
  <c r="W428" i="1"/>
  <c r="W427" i="1"/>
  <c r="W426" i="1"/>
  <c r="W425" i="1"/>
  <c r="W424" i="1"/>
  <c r="W423" i="1"/>
  <c r="W422" i="1"/>
  <c r="W421" i="1"/>
  <c r="W420" i="1"/>
  <c r="W419" i="1"/>
  <c r="W418" i="1"/>
  <c r="W417" i="1"/>
  <c r="W416" i="1"/>
  <c r="W415" i="1"/>
  <c r="W414" i="1"/>
  <c r="W413" i="1"/>
  <c r="W412" i="1"/>
  <c r="W411" i="1"/>
  <c r="W410" i="1"/>
  <c r="W409" i="1"/>
  <c r="W408" i="1"/>
  <c r="W407" i="1"/>
  <c r="W406" i="1"/>
  <c r="W405" i="1"/>
  <c r="W224" i="1"/>
  <c r="W223" i="1"/>
  <c r="W222" i="1"/>
  <c r="W221" i="1"/>
  <c r="W220" i="1"/>
  <c r="W219" i="1"/>
  <c r="W218" i="1"/>
  <c r="W217" i="1"/>
  <c r="W216" i="1"/>
  <c r="W215"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6" i="1"/>
  <c r="W155" i="1"/>
  <c r="W154" i="1"/>
  <c r="W153" i="1"/>
  <c r="W152" i="1"/>
  <c r="W151" i="1"/>
  <c r="W150" i="1"/>
  <c r="W149" i="1"/>
  <c r="W148" i="1"/>
  <c r="W147" i="1"/>
  <c r="W146" i="1"/>
  <c r="W140" i="1"/>
  <c r="W128" i="1"/>
  <c r="W139" i="1"/>
  <c r="W127" i="1"/>
  <c r="W116" i="1"/>
  <c r="W84" i="1"/>
  <c r="W64" i="1"/>
  <c r="W65" i="1"/>
  <c r="W63"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1" i="1"/>
  <c r="W12" i="1"/>
  <c r="I450" i="1"/>
  <c r="I428" i="1"/>
  <c r="D450" i="1"/>
  <c r="J7" i="1" l="1"/>
  <c r="AB450" i="1"/>
  <c r="AB428" i="1"/>
  <c r="J6" i="1"/>
  <c r="W6" i="1"/>
  <c r="J8" i="1" l="1"/>
  <c r="J9" i="1" s="1"/>
  <c r="V6" i="1"/>
  <c r="W7" i="1" s="1"/>
  <c r="U6" i="1" l="1"/>
  <c r="D451" i="1" l="1"/>
  <c r="AB451" i="1" s="1"/>
  <c r="I451" i="1"/>
</calcChain>
</file>

<file path=xl/sharedStrings.xml><?xml version="1.0" encoding="utf-8"?>
<sst xmlns="http://schemas.openxmlformats.org/spreadsheetml/2006/main" count="3325" uniqueCount="670">
  <si>
    <t>MUNICIPIO DE SAN FELIPE</t>
  </si>
  <si>
    <t>Montos que reciban, obras y acciones a realizar con el FAIS</t>
  </si>
  <si>
    <t xml:space="preserve">Monto que reciban del FAIS $ </t>
  </si>
  <si>
    <t>Obra o acción a realizar</t>
  </si>
  <si>
    <t>Costo</t>
  </si>
  <si>
    <t>Metas</t>
  </si>
  <si>
    <t>Beneficiarios</t>
  </si>
  <si>
    <t>Entidad</t>
  </si>
  <si>
    <t>Municipio</t>
  </si>
  <si>
    <t>Localidad</t>
  </si>
  <si>
    <t>Ubicación</t>
  </si>
  <si>
    <t>GUANAJUATO</t>
  </si>
  <si>
    <t>SAN FELIPE</t>
  </si>
  <si>
    <t>No.</t>
  </si>
  <si>
    <t>s</t>
  </si>
  <si>
    <t>CAP</t>
  </si>
  <si>
    <t>TOTALES</t>
  </si>
  <si>
    <t>SUMA</t>
  </si>
  <si>
    <t>TITULO</t>
  </si>
  <si>
    <t>Fecha de Captura</t>
  </si>
  <si>
    <t>Trimestre</t>
  </si>
  <si>
    <t>Título</t>
  </si>
  <si>
    <t>Sumatoria</t>
  </si>
  <si>
    <t>1er Trimestre 2022</t>
  </si>
  <si>
    <t>2do Trimestre 2022</t>
  </si>
  <si>
    <t>3er Trimestre 2022</t>
  </si>
  <si>
    <t>4to Trimestre 2022</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</si>
  <si>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</si>
  <si>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</si>
  <si>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</si>
  <si>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</si>
  <si>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</si>
  <si>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</si>
  <si>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</si>
  <si>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</si>
  <si>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</si>
  <si>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</si>
  <si>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</si>
  <si>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</si>
  <si>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</si>
  <si>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SAN VICENTE</t>
  </si>
  <si>
    <t>TOTAL PROCEDE</t>
  </si>
  <si>
    <t>SANTA ROSA</t>
  </si>
  <si>
    <t>PALO COLORADO</t>
  </si>
  <si>
    <t>PROCEDE POR LOCALIDAD SIN CLASIFICACIÓN DE GRS</t>
  </si>
  <si>
    <t>LA LABOR</t>
  </si>
  <si>
    <t>LA SAUCEDA DE LA LUZ</t>
  </si>
  <si>
    <t>SAN BARTOLO DE BERRIOS</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</si>
  <si>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</si>
  <si>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</si>
  <si>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</si>
  <si>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</si>
  <si>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</si>
  <si>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</si>
  <si>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</si>
  <si>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SE REALIZA PROYECTO EJECUTIVO PARA LINEA DE CONDUCCIÓN POR GRAVEDAD, TANQUE Y RED DE DISTRIBUCIÓN PARA LAS COMUNIDADES PALO COLORADO Y EL MADROÑO,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</si>
  <si>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REDES Y TANQUE DE AGUA POTABLE.</t>
  </si>
  <si>
    <t>SE REALIZA PROYECTO EJECUTIVO PARA TANQUE DE ALMACENAMIENTO PARA LA LOCALIDAD DE RINCÓN DE ORTEGA,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</si>
  <si>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TANQUE DE AGUA POTABLE.</t>
  </si>
  <si>
    <t>SE REALIZA PROYECTO EJECUTIVO PARA LINEA DE CONDUCCIÓN DE AGUA POTABLE DEL POZO DE SAN JUAN DE LLANOS A MANZANALES, LO CUAL INCLUYE, LEVANTAMIENTOS TOPOGRÁFICOS, CÁLCULOS HIDRÁULICOS,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</si>
  <si>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LINEA DE CONDUCCIÓN DE AGUA POTABLE.</t>
  </si>
  <si>
    <t>MIGUEL HIDALGO (CUERITOS)</t>
  </si>
  <si>
    <t>SANTA CATARINA</t>
  </si>
  <si>
    <t>Cap POA</t>
  </si>
  <si>
    <t>RANCHO NUEVO DEL CARRIZO</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</si>
  <si>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</si>
  <si>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</si>
  <si>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</si>
  <si>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</si>
  <si>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</si>
  <si>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</si>
  <si>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</si>
  <si>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</si>
  <si>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</si>
  <si>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</si>
  <si>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</si>
  <si>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</si>
  <si>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</si>
  <si>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</si>
  <si>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</si>
  <si>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</si>
  <si>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</si>
  <si>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</si>
  <si>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</si>
  <si>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</si>
  <si>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</si>
  <si>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</si>
  <si>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ID del Proyecto en MIDS 2023</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</si>
  <si>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</si>
  <si>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</si>
  <si>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</si>
  <si>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</si>
  <si>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</si>
  <si>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</si>
  <si>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</si>
  <si>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</si>
  <si>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</si>
  <si>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</si>
  <si>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</si>
  <si>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</si>
  <si>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</si>
  <si>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</si>
  <si>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</si>
  <si>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</si>
  <si>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</si>
  <si>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</si>
  <si>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</si>
  <si>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</si>
  <si>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</si>
  <si>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</si>
  <si>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</si>
  <si>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</si>
  <si>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</si>
  <si>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</si>
  <si>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</si>
  <si>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</si>
  <si>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</si>
  <si>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</si>
  <si>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</si>
  <si>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</si>
  <si>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</si>
  <si>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</si>
  <si>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</si>
  <si>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</si>
  <si>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</si>
  <si>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</si>
  <si>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</si>
  <si>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</si>
  <si>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</si>
  <si>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</si>
  <si>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</si>
  <si>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</si>
  <si>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</si>
  <si>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</si>
  <si>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</si>
  <si>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Reserva presupuestal para equipamiento con Calentadores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</si>
  <si>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</si>
  <si>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</si>
  <si>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</si>
  <si>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</si>
  <si>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</si>
  <si>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</si>
  <si>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</si>
  <si>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</si>
  <si>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</si>
  <si>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</si>
  <si>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</si>
  <si>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</si>
  <si>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</si>
  <si>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</si>
  <si>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</si>
  <si>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</si>
  <si>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</si>
  <si>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</si>
  <si>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</si>
  <si>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</si>
  <si>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</si>
  <si>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</si>
  <si>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</si>
  <si>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</si>
  <si>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</si>
  <si>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</si>
  <si>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</si>
  <si>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</si>
  <si>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</si>
  <si>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</si>
  <si>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</si>
  <si>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</si>
  <si>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</si>
  <si>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</si>
  <si>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</si>
  <si>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</si>
  <si>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</si>
  <si>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</si>
  <si>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</si>
  <si>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</si>
  <si>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</si>
  <si>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</si>
  <si>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</si>
  <si>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</si>
  <si>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</si>
  <si>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</si>
  <si>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</si>
  <si>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</si>
  <si>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</si>
  <si>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</si>
  <si>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</si>
  <si>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</si>
  <si>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</si>
  <si>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</si>
  <si>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</si>
  <si>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</si>
  <si>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</si>
  <si>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</si>
  <si>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</si>
  <si>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</si>
  <si>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</si>
  <si>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</si>
  <si>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</si>
  <si>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</si>
  <si>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</si>
  <si>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</si>
  <si>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</si>
  <si>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</si>
  <si>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</si>
  <si>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</si>
  <si>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</si>
  <si>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</si>
  <si>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</si>
  <si>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</si>
  <si>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</si>
  <si>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</si>
  <si>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</si>
  <si>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</si>
  <si>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</si>
  <si>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</si>
  <si>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</si>
  <si>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</si>
  <si>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</si>
  <si>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LAS CALERAS</t>
  </si>
  <si>
    <t>EL SAUCILLO</t>
  </si>
  <si>
    <t>EL CARRETÓN</t>
  </si>
  <si>
    <t>EL TEJOCOTE (EL DOMINGO)</t>
  </si>
  <si>
    <t>1.00
ABREVADERO AGRÍCOLA</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</si>
  <si>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</si>
  <si>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</si>
  <si>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</si>
  <si>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</si>
  <si>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</si>
  <si>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</si>
  <si>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</si>
  <si>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</si>
  <si>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</si>
  <si>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</si>
  <si>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</si>
  <si>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</si>
  <si>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</si>
  <si>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</si>
  <si>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</si>
  <si>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</si>
  <si>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</si>
  <si>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</si>
  <si>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</si>
  <si>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</si>
  <si>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</si>
  <si>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</si>
  <si>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</si>
  <si>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</si>
  <si>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</si>
  <si>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</si>
  <si>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</si>
  <si>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</si>
  <si>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</si>
  <si>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</si>
  <si>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</si>
  <si>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</si>
  <si>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</si>
  <si>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</si>
  <si>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</si>
  <si>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</si>
  <si>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</si>
  <si>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</si>
  <si>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</si>
  <si>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</si>
  <si>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</si>
  <si>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</si>
  <si>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</si>
  <si>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</si>
  <si>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</si>
  <si>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</si>
  <si>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</si>
  <si>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</si>
  <si>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</si>
  <si>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</si>
  <si>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</si>
  <si>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</si>
  <si>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</si>
  <si>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</si>
  <si>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</si>
  <si>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</si>
  <si>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</si>
  <si>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</si>
  <si>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</si>
  <si>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</si>
  <si>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</si>
  <si>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</si>
  <si>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</si>
  <si>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</si>
  <si>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</si>
  <si>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</si>
  <si>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</si>
  <si>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</si>
  <si>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</si>
  <si>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</si>
  <si>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</si>
  <si>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</si>
  <si>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</si>
  <si>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</si>
  <si>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</si>
  <si>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</si>
  <si>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</si>
  <si>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</si>
  <si>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</si>
  <si>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</si>
  <si>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</si>
  <si>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</si>
  <si>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</si>
  <si>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</si>
  <si>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</si>
  <si>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</si>
  <si>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</si>
  <si>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</si>
  <si>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</si>
  <si>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</si>
  <si>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</si>
  <si>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</si>
  <si>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</si>
  <si>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</si>
  <si>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</si>
  <si>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</si>
  <si>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</si>
  <si>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</si>
  <si>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</si>
  <si>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</si>
  <si>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5ta Modificación 2023</t>
  </si>
  <si>
    <t>CONSTRUCCIÓN DE ABREVADERO AGRÍCOLA (CONSTRUCCIÓN DE BORDO) EN LA LOCALIDAD 110300157 - PALO COLORADO EN EL MUNICIPIO DE SAN FELIPE, GTO.</t>
  </si>
  <si>
    <t>ESTANCIA DE SAN FRANCISCO</t>
  </si>
  <si>
    <t>OBRAS A EJECUTAR EN 2023 DEL MUNICIPIO DE SAN FELIPE</t>
  </si>
  <si>
    <t>LEQUEITIO</t>
  </si>
  <si>
    <t>Cap Fichas MIDS 2023</t>
  </si>
  <si>
    <t>Com</t>
  </si>
  <si>
    <t>Dir</t>
  </si>
  <si>
    <t>Suma</t>
  </si>
  <si>
    <t xml:space="preserve">Sin Cap Fichas: </t>
  </si>
  <si>
    <t xml:space="preserve">Suma: </t>
  </si>
  <si>
    <t>RANCHO BARRANCA DE LOMA ALTA</t>
  </si>
  <si>
    <t>CAÑADA DE CHÁVEZ</t>
  </si>
  <si>
    <t>CHIRIMOYA VIEJA</t>
  </si>
  <si>
    <t>EL TEPOZÁN DE SANTA RITA</t>
  </si>
  <si>
    <t>LA LOBERA</t>
  </si>
  <si>
    <t>SAN JOSÉ DEL RAYO</t>
  </si>
  <si>
    <t>LA CIENEGUITA</t>
  </si>
  <si>
    <t>LAS VIGAS</t>
  </si>
  <si>
    <t>EL ANCÓN</t>
  </si>
  <si>
    <t>SAN JUAN DE LLANOS</t>
  </si>
  <si>
    <t>SAN PEDRO DE ALMOLOYÁN</t>
  </si>
  <si>
    <t>TIERRAS PRIETAS</t>
  </si>
  <si>
    <t>MASTRANTO DEL REFUGIO</t>
  </si>
  <si>
    <t>EL ZAPOTE</t>
  </si>
  <si>
    <t>LA HUERTA</t>
  </si>
  <si>
    <t>EL LINDERO</t>
  </si>
  <si>
    <t>FÁBRICA DE MELCHOR</t>
  </si>
  <si>
    <t>RANCHO NUEVO DE SAN VICENTE</t>
  </si>
  <si>
    <t>PIEDRAS NEGRAS</t>
  </si>
  <si>
    <t>EL PIRUL</t>
  </si>
  <si>
    <t>LA PALMA</t>
  </si>
  <si>
    <t>EL VERGEL Y ANEXOS</t>
  </si>
  <si>
    <t>EL ARO</t>
  </si>
  <si>
    <t>DESEADILLA</t>
  </si>
  <si>
    <t>ARANJUEZ</t>
  </si>
  <si>
    <t>LA ERA DE BRAVO</t>
  </si>
  <si>
    <t>JARAL DE BERRIOS</t>
  </si>
  <si>
    <t>LAGUNA DE GUADALUPE</t>
  </si>
  <si>
    <t>SAN JOSÉ DE LA VARILLA</t>
  </si>
  <si>
    <t>COECILLO</t>
  </si>
  <si>
    <t>MOLINO DE SAN JOSÉ</t>
  </si>
  <si>
    <t>EL TEPOZÁN DOS</t>
  </si>
  <si>
    <t>LA ESTANCITA DEL MAGUEY</t>
  </si>
  <si>
    <t>SAN FRANCISCO</t>
  </si>
  <si>
    <t>EL ESTAÑO</t>
  </si>
  <si>
    <t>FÁBRICA DE GUADALUPE</t>
  </si>
  <si>
    <t>FUERTE VIEJO</t>
  </si>
  <si>
    <t>SAN ANDRÉS DEL CUBO</t>
  </si>
  <si>
    <t>LA LAGUNITA</t>
  </si>
  <si>
    <t>LOS MARTÍNEZ</t>
  </si>
  <si>
    <t>EL HUIZACHE</t>
  </si>
  <si>
    <t>BUENAVISTA DEL CUBO</t>
  </si>
  <si>
    <t>NC</t>
  </si>
  <si>
    <t>Proyecto ejecutivo de la red de drenaje sanitario y sistema de tratamiento en la localidad La Labor, Municipio de San Felipe, Gto.</t>
  </si>
  <si>
    <t>Proyecto ejecutivo para la intervención y restauración de la escuela primaria Prim. Miguel Campuzano, localidad San Felipe, Municipio de San Felipe, Gto. (Segunda etapa)</t>
  </si>
  <si>
    <t>Proyecto ejecutivo para pavimentación de camino de acceso a la localidad Sauceda de la Luz, Mpio. de San Felipe, Gto. (Segunda etapa)</t>
  </si>
  <si>
    <t>Proyecto ejecutivo para la red de distribución de agua potable en la Comunidad El Saúz (El Saucito), en el Municipio de San Felipe, Gto.</t>
  </si>
  <si>
    <t>Proyecto ejecutivo para la construcción del sistema de tratamiento de aguas residuales en la localidad El Carretón Municipio de San Felipe, Gto.</t>
  </si>
  <si>
    <t>Dictamen Geofísico – Geohidrológico para la perfiración de pozo profundo para la extracción de agua potable en la localidad San José del Tanque, San Felipe, Gto.</t>
  </si>
  <si>
    <t>Proyecto ejecutivo para la Rehabilitación del sistema de agua potable en la localidad La Lagunita, Municipio de San Felipe, Gto.</t>
  </si>
  <si>
    <t>Proyecto ejecutivo para la rehabilitación y/o ampliación del sistema de agua potable en las localidades Tepozán de Santa Rita, El Fresno y El Lindero, Mpio. San Felipe, Gto. (Segunda etapa)</t>
  </si>
  <si>
    <t>Proyecto Ejecutivo para la rehabilitación y/o ampliación del sistema de agua potable en la localidad Estancia del Cubo, Mpio. San Felipe, Gto.</t>
  </si>
  <si>
    <t>Proyecto ejecutivo para la amplaición de la red de distribución de agua potable la localiad Fuerte Viejo, Municipio de San Felipe, Gto.</t>
  </si>
  <si>
    <t>GASTOS INDIRECTOS 2024 DEL MUNICIPIO DE SAN FELIPE</t>
  </si>
  <si>
    <t>LA QUEMADA</t>
  </si>
  <si>
    <t>EL SAUZ (EL SAUCITO)</t>
  </si>
  <si>
    <t>SAN JOSÉ DEL TANQUE</t>
  </si>
  <si>
    <t>VARIAS LOCALIDADES</t>
  </si>
  <si>
    <t>LA ESTANCIA DEL CUBO</t>
  </si>
  <si>
    <t>AMPLIACIÓN DE BORDO (ABREVADERO AGRÍCOLA) EN LA LOCALIDAD DE RANCHO NUEVO DE SAN VICENTE (0188) EN EL MUNICIPIO DE SAN FELIPE, GTO.</t>
  </si>
  <si>
    <t>REHABILITACIÓN CON DESAZOLVE DE BORDO (ABREVADERO AGRÍCOLA) EN LA LOCALIDAD DE SAN JOSE DEL TANQUE (0230) EN EL MUNICIPIO DE SAN FELIPE, GTO.</t>
  </si>
  <si>
    <t>REHABILITACIÓN DE BORDO (ABREVADERO AGRÍCOLA) EN LA LOCALIDAD DE SANTA ROSA (0251) EN EL MUNICIPIO DE SAN FELIPE, GTO.</t>
  </si>
  <si>
    <t>REHABILITACIÓN CON DESAZOLVE DE BORDO (ABREVADERO AGRÍCOLA) EN LA LOCALIDAD DE ALTOS DE IBARRA (007) EN EL MUNICIPIO DE SAN FELIPE, GTO.</t>
  </si>
  <si>
    <t>REHABILITACIÓN CON DESAZOLVE DE BORDO (ABREVADERO AGRÍCOLA) EN LA LOCALIDAD DE EL ROSARIO (0200) EN EL MUNICIPIO DE SAN FELIPE, GTO.</t>
  </si>
  <si>
    <t>AMPLIACIÓN DE BORDO (ABREVADERO AGRÍCOLA) EN LA LOCALIDAD DE PROVIDENCIA DEL LLANO (0178) EN EL MUNICIPIO DE SAN FELIPE, GTO.</t>
  </si>
  <si>
    <t>CONSTRUCCIÓN DE BORDO (ABREVADERO AGRÍCOLA) EN LA LOCALIDAD DE SALTO DEL AHOGADO (0203) EN EL MUNICIPIO DE SAN FELIPE, GTO.</t>
  </si>
  <si>
    <t>AMPLIACIÓN DE BORDO (ABREVADERO AGRÍCOLA) EN LA LOCALIDAD DE PALMITAS (PAMILLAS) (0469) EN EL MUNICIPIO DE SAN FELIPE, GTO.</t>
  </si>
  <si>
    <t>REHABILITACIÓN CON DESAZOLVE DE BORDO (ABREVADERO AGRÍCOLA) EN LA LOCALIDAD DE EL ORIENTE (0152) EN EL MUNICIPIO DE SAN FELIPE, GTO.</t>
  </si>
  <si>
    <t>AMPLIACIÓN DE BORDO (ABREVADERO AGRÍCOLA) EN LA LOCALIDAD DE TEPOZAN 3 (0267) EN EL MUNICIPIO DE SAN FELIPE, GTO.</t>
  </si>
  <si>
    <t>AMPLIACIÓN DE BORDO (ABREVADERO AGRÍCOLA) EN LA LOCALIDAD DE LA LOBERA (0129) EN EL MUNICIPIO DE SAN FELIPE, GTO.</t>
  </si>
  <si>
    <t>AMPLIACIÓN DE BORDO (ABREVADERO AGRÍCOLA) EN LA LOCALIDAD DE LOS MARTINEZ(0137) EN EL MUNICIPIO DE SAN FELIPE, GTO.</t>
  </si>
  <si>
    <t>CONSTRUCCIÓN DE BORDO (ABREVADERO AGRÍCOLA) EN LA LOCALIDAD DE LAS VIGAS (0284) EN EL MUNICIPIO DE SAN FELIPE, GTO.</t>
  </si>
  <si>
    <t>CONSTRUCCIÓN DE BORDO (ABREVADERO AGRÍCOLA) EN LA LOCALIDAD DE TRES ENCINOS ( 0275) EN EL MUNICIPIO DE SAN FELIPE, GTO.</t>
  </si>
  <si>
    <t>CONSTRUCCIÓN DE BORDO (ABREVADERO AGRÍCOLA) EN LA LOCALIDAD DE LA SOLEDAD (0480) EN EL MUNICIPIO DE SAN FELIPE, GTO.</t>
  </si>
  <si>
    <t>AMPLIACIÓN DE BORDO (ABREVADERO AGRÍCOLA) EN LA LOCALIDAD DE LAS CALERAS (0031) EN EL MUNICIPIO DE SAN FELIPE, GTO.</t>
  </si>
  <si>
    <t>REHABILITACIÓN DE BORDO (ABREVADERO AGRÍCOLA) EN LA LOCALIDAD DE PROVIDENCIA DEL LLANO (0178) EN EL MUNICIPIO DE SAN FELIPE, GTO.</t>
  </si>
  <si>
    <t>CONSTRUCCIÓN DE BORDO (ABREVADERO AGRÍCOLA) EN LA LOCALIDAD DE BARRANCA DE LOMA ALTA (0025) EN EL MUNICIPIO DE SAN FELIPE, GTO.</t>
  </si>
  <si>
    <t>AMPLIACIÓN DE BORDO (ABREVADERO AGRÍCOLA) EN LA LOCALIDAD DE EL ANCÓN (0008) EN EL MUNICIPIO DE SAN FELIPE, GTO.</t>
  </si>
  <si>
    <t>CONSTRUCCIÓN DE BORDO (ABREVADERO AGRÍCOLA) EN LA LOCALIDAD DE PALO COLORADO (0157) EN EL MUNICIPIO DE SAN FELIPE, GTO.</t>
  </si>
  <si>
    <t>REHABILITACIÓN CON DESAZOLVE DE BORDO (ABREVADERO AGRÍCOLA) EN LA LOCALIDAD DE EL LINDERO (0126) EN EL MUNICIPIO DE SAN FELIPE, GTO.</t>
  </si>
  <si>
    <t>AMPLIACIÓN DE BORDO (ABREVADERO AGRÍCOLA) EN LA LOCALIDAD DE LOMAS DE LA ASUNCION (0771) EN EL MUNICIPIO DE SAN FELIPE, GTO.</t>
  </si>
  <si>
    <t>CONSTRUCCIÓN DE BORDO (ABREVADERO AGRÍCOLA) EN LA LOCALIDAD DE LA TAPONA (0263) EN EL MUNICIPIO DE SAN FELIPE, GTO.</t>
  </si>
  <si>
    <t>AMPLIACIÓN DE BORDO (ABREVADERO AGRÍCOLA) EN LA LOCALIDAD DE EL SAUZ EN EL MUNICIPIO DE SAN FELIPE, GTO.</t>
  </si>
  <si>
    <t>AMPLIACIÓN DE BORDO (ABREVADERO AGRÍCOLA) EN LA LOCALIDAD DE RINCON DE ORTEGA (0195) EN EL MUNICIPIO DE SAN FELIPE, GTO.</t>
  </si>
  <si>
    <t>REHABILITACIÓN CON DESAZOLVE DE BORDO (ABREVADERO AGRÍCOLA) EN LA LOCALIDAD DE EL SAUZ (0258) EN EL MUNICIPIO DE SAN FELIPE, GTO.</t>
  </si>
  <si>
    <t>REHABILITACIÓN CON DESAZOLVE DE BORDO (ABREVADERO AGRÍCOLA) EN LA LOCALIDAD DE EL ARO (0013) EN EL MUNICIPIO DE SAN FELIPE, GTO.</t>
  </si>
  <si>
    <t>AMPLIACIÓN DE BORDO (ABREVADERO AGRÍCOLA) EN LA LOCALIDAD DE PALO COLORADO (0157) EN EL MUNICIPIO DE SAN FELIPE, GTO.</t>
  </si>
  <si>
    <t>CONSTRUCCIÓN DE BORDO (ABREVADERO AGRÍCOLA) EN LA LOCALIDAD DE SAN JOSÉ DEL RAYO (0229) EN EL MUNICIPIO DE SAN FELIPE, GTO.</t>
  </si>
  <si>
    <t>REHABILITACIÓN CON DESAZOLVE DE BORDO (ABREVADERO AGRÍCOLA) EN LA LOCALIDAD DE SAN JOSÉ DEL RAYO (0229) EN EL MUNICIPIO DE SAN FELIPE, GTO.</t>
  </si>
  <si>
    <t>AMPLIACIÓN DE BORDO (ABREVADERO AGRÍCOLA) EN LA LOCALIDAD DE SAN PEDRO DE ALMOLOYAN (0238) EN EL MUNICIPIO DE SAN FELIPE, GTO.</t>
  </si>
  <si>
    <t>CONSTRUCCIÓN DE BORDO (ABREVADERO AGRÍCOLA) EN LA LOCALIDAD DE SAN PEDRO DE ALMOLOYAN (0238) EN EL MUNICIPIO DE SAN FELIPE, GTO.</t>
  </si>
  <si>
    <t>CONSTRUCCIÓN DE BORDO (ABREVADERO AGRÍCOLA) EN LA LOCALIDAD DE SAN MARTIN DEL MEZQUITE (0392) EN EL MUNICIPIO DE SAN FELIPE, GTO.</t>
  </si>
  <si>
    <t>REHABILITACIÓN CON DESAZOLVE DE BORDO (ABREVADERO AGRÍCOLA) EN LA LOCALIDAD DE SAN PEDRO DE ALMOLOYAN (0238) EN EL MUNICIPIO DE SAN FELIPE, GTO.</t>
  </si>
  <si>
    <t>AMPLIACIÓN DE BORDO (ABREVADERO AGRÍCOLA) EN LA LOCALIDAD DE SAN MARTIN DEL MEZQUITE (0392) EN EL MUNICIPIO DE SAN FELIPE, GTO.</t>
  </si>
  <si>
    <t>CONSTRUCCIÓN DE BORDO (ABREVADERO AGRÍCOLA) EN LA LOCALIDAD DE EL SAUCILLO (0256) EN EL MUNICIPIO DE SAN FELIPE, GTO.</t>
  </si>
  <si>
    <t>REHABILITACIÓN CON DESAZOLVE DE BORDO (ABREVADERO AGRÍCOLA) EN LA LOCALIDAD DE MOLINO DE SAN JOSÉ (0145) EN EL MUNICIPIO DE SAN FELIPE, GTO.</t>
  </si>
  <si>
    <t>REHABILITACIÓN DE BORDO (ABREVADERO AGRÍCOLA) EN LA LOCALIDAD DE OJO DE AGUA DE SAN MIGUEL (EL COYOTE) (0150) EN EL MUNICIPIO DE SAN FELIPE, GTO.</t>
  </si>
  <si>
    <t>CONSTRUCCIÓN DE BORDO (ABREVADERO AGRÍCOLA) EN LA LOCALIDAD DE LA QUEMADA (0187) EN EL MUNICIPIO DE SAN FELIPE, GTO.</t>
  </si>
  <si>
    <t>CONSTRUCCIÓN DE BORDO (ABREVADERO AGRÍCOLA) EN LA LOCALIDAD DE SANTA CATARINA (0243) EN EL MUNICIPIO DE SAN FELIPE, GTO.</t>
  </si>
  <si>
    <t>CONSTRUCCIÓN DE BORDO (ABREVADERO AGRÍCOLA) EN LA LOCALIDAD DE EL ROSARIO (0200) EN EL MUNICIPIO DE SAN FELIPE, GTO.</t>
  </si>
  <si>
    <t>AMPLIACIÓN DE BORDO (ABREVADERO AGRÍCOLA) EN LA LOCALIDAD DE EL VERGEL Y ANEXOS (0787) EN EL MUNICIPIO DE SAN FELIPE, GTO.</t>
  </si>
  <si>
    <t>REHABILITACIÓN CON DESAZOLVE DE BORDO (ABREVADERO AGRÍCOLA) EN LA LOCALIDAD DE ESTANCIA DEL CUBO (0082) EN EL MUNICIPIO DE SAN FELIPE, GTO.</t>
  </si>
  <si>
    <t>REHABILITACIÓN CON DESAZOLVE DE BORDO (ABREVADERO AGRÍCOLA) EN LA LOCALIDAD DE OJO DE AGUA DE SAN MIGUEL (EL COYOTE) (0150) EN EL MUNICIPIO DE SAN FELIPE, GTO.</t>
  </si>
  <si>
    <t>REHABILITACIÓN CON DESAZOLVE DE BORDO (ABREVADERO AGRÍCOLA) EN LA LOCALIDAD DE FABRICA DE GUADALUPE (0443) EN EL MUNICIPIO DE SAN FELIPE, GTO.</t>
  </si>
  <si>
    <t>REHABILITACIÓN CON DESAZOLVE DE BORDO (ABREVADERO AGRÍCOLA) EN LA LOCALIDAD DE MARIA AUXILIADORA (0136) EN EL MUNICIPIO DE SAN FELIPE, GTO.</t>
  </si>
  <si>
    <t>Construcción de bordo para captación de Agua en la localidad La Ceja, en el Municipio de San Felipe, Gto.</t>
  </si>
  <si>
    <t>CONSTRUCCIÓN DE CUARTO DORMITORIO DE 3 X 4 MTS. EN SAN BARTOLO DE BERRIOS</t>
  </si>
  <si>
    <t>CONSTRUCCIÓN DE CUARTO DORMITORIO DE 3 X 4 MTS. EN COLONIA MARAVILLAS</t>
  </si>
  <si>
    <t>CONSTRUCCIÓN DE CUARTO DORMITORIO DE 3 X 4 MTS. EN COLONIA LA FLORIDA</t>
  </si>
  <si>
    <t>CONSTRUCCIÓN DE CUARTO DORMITORIO DE 3 X 4 MTS. EN COLONIA SANTUARIO</t>
  </si>
  <si>
    <t>CONSTRUCCIÓN DE CUARTO DORMITORIO DE 3 X 4 MTS. EN COLONIA FRACCIONAMIENTO SANTA TERESA</t>
  </si>
  <si>
    <t>CONSTRUCCIÓN DE CUARTO DORMITORIO DE 3 X 4 MTS. EN COLONIA FRACCIONAMIENTO OJOS ZARCOS</t>
  </si>
  <si>
    <t>CONSTRUCCIÓN DE CUARTO DORMITORIO DE 3 X 4 MTS. EN JARAL DE BERRIOS</t>
  </si>
  <si>
    <t>CONSTRUCCIÓN DE CUARTO DORMITORIO DE 3 X 4 MTS. EN CAÑADA DE CHAVEZ</t>
  </si>
  <si>
    <t>CONSTRUCCIÓN DE CUARTO DORMITORIO DE 3 X 4 MTS. EN JOYAS DEL MADROÑO</t>
  </si>
  <si>
    <t>CONSTRUCCIÓN DE CUARTO DORMITORIO DE 3 X 4 MTS. EN LOCALIDAD EL PIRUL</t>
  </si>
  <si>
    <t>CONSTRUCCIÓN DE CUARTO DORMITORIO DE 3 X 4 MTS. EN OJO DE AGUA DEL CARRIZO</t>
  </si>
  <si>
    <t>CONSTRUCCIÓN DE CUARTO DORMITORIO DE 3 X 4 MTS. EN RINCÓN DE ORTEGA</t>
  </si>
  <si>
    <t>CONSTRUCCIÓN DE CUARTO DORMITORIO DE 3 X 4 MTS. EN LA ANGOSTURA</t>
  </si>
  <si>
    <t>CONSTRUCCIÓN DE CUARTO DORMITORIO DE 3 X 4 MTS. EN PIEDRAS NEGRAS</t>
  </si>
  <si>
    <t>CONSTRUCCIÓN DE CUARTO DORMITORIO DE 3 X 4 MTS. EN ESTACIÓN CHIRIMOYA</t>
  </si>
  <si>
    <t>CONSTRUCCION DE BAÑO CON CONEXIÓN A DRENAJE SANITARIO EN SAN BARTOLO DE BERRIOS</t>
  </si>
  <si>
    <t>CONSTRUCCION DE BAÑO CON CONEXIÓN A DRENAJE SANITARIO EN EMILIANO ZAPATA (ZAVALA)</t>
  </si>
  <si>
    <t>CONSTRUCCION DE BAÑO CON CONEXIÓN A DRENAJE SANITARIO EN COLONIA CENTRO</t>
  </si>
  <si>
    <t>CONSTRUCCION DE BAÑO CON CONEXIÓN A DRENAJE SANITARIO EN SAUCEDA DE LA LUZ</t>
  </si>
  <si>
    <t>CONSTRUCCION DE BAÑO CON CONEXIÓN A DRENAJE SANITARIO EN LEQUEITIO</t>
  </si>
  <si>
    <t>CONSTRUCCIÓN DE TECHO FIRME EN VIVIENDA, EN EL MUNICIPIO DE SAN FELIPE, GTO. (ESTANCIA DE SAN FRANCISCO (SEGUNDA ETAPA)).</t>
  </si>
  <si>
    <t>CONSTRUCCIÓN DE TECHO FIRME EN VIVIENDA, EN EL MUNICIPIO DE SAN FELIPE, GTO. (GUADALUPE (EX HACIENDA CASCO DE LEQUEITIO (SEGUNDA ETAPA))).</t>
  </si>
  <si>
    <t>CONSTRUCCIÓN DE TECHO FIRME EN VIVIENDA, EN EL MUNICIPIO DE SAN FELIPE, GTO. (SAN FELIPE (SEGUNDA ETAPA)).</t>
  </si>
  <si>
    <t>CONSTRUCCIÓN DE TECHO FIRME EN VIVIENDA, EN EL MUNICIPIO DE SAN FELIPE, GTO. (EL ESTAÑO (SEGUNDA ETAPA)).</t>
  </si>
  <si>
    <t>CONSTRUCCIÓN DE TECHO FIRME EN VIVIENDA, EN EL MUNICIPIO DE SAN FELIPE, GTO. (ESTANCITA DEL MAGUEY (SEGUNDA ETAPA)).</t>
  </si>
  <si>
    <t>CONSTRUCCIÓN DE TECHO FIRME EN VIVIENDA, EN EL MUNICIPIO DE SAN FELIPE, GTO. (FÁBRICA DE GUADALUPE (SEGUNDA ETAPA)).</t>
  </si>
  <si>
    <t>EQUIPAMIENTO CON ESTUFAS ECOLOGICAS (FOGÓN ECOLÓGICO) EN EL MUNICIPIO DE SAN FELIPE, GTO. (NOPALES)</t>
  </si>
  <si>
    <t>EQUIPAMIENTO CON ESTUFAS ECOLOGICAS (FOGÓN ECOLÓGICO) EN EL MUNICIPIO DE SAN FELIPE, GTO. (TRES ENCINOS)</t>
  </si>
  <si>
    <t>EQUIPAMIENTO CON ESTUFAS ECOLOGICAS (FOGÓN ECOLÓGICO) EN EL MUNICIPIO DE SAN FELIPE, GTO. (ERA DE BRAVO)</t>
  </si>
  <si>
    <t>EQUIPAMIENTO CON ESTUFAS ECOLOGICAS (FOGÓN ECOLÓGICO) EN EL MUNICIPIO DE SAN FELIPE, GTO. (LA HUERTA)</t>
  </si>
  <si>
    <t>EQUIPAMIENTO CON ESTUFAS ECOLOGICAS (FOGÓN ECOLÓGICO) EN EL MUNICIPIO DE SAN FELIPE, GTO. (TEPOZAN DOS)</t>
  </si>
  <si>
    <t>EQUIPAMIENTO CON ESTUFAS ECOLOGICAS (FOGÓN ECOLÓGICO) EN EL MUNICIPIO DE SAN FELIPE, GTO. (SAN ISIDRO DE CAPELLANIA)</t>
  </si>
  <si>
    <t>EQUIPAMIENTO CON ESTUFAS ECOLOGICAS (FOGÓN ECOLÓGICO) EN EL MUNICIPIO DE SAN FELIPE, GTO. (SANTO DOMINGO DE GUZMÁN)</t>
  </si>
  <si>
    <t>EQUIPAMIENTO CON ESTUFAS ECOLOGICAS (FOGÓN ECOLÓGICO) EN EL MUNICIPIO DE SAN FELIPE, GTO. (LA FRONTERA)</t>
  </si>
  <si>
    <t>EQUIPAMIENTO CON ESTUFAS ECOLOGICAS (FOGÓN ECOLÓGICO) EN EL MUNICIPIO DE SAN FELIPE, GTO. (PUERTO ALTO)</t>
  </si>
  <si>
    <t>EQUIPAMIENTO CON ESTUFAS ECOLOGICAS (FOGÓN ECOLÓGICO) EN EL MUNICIPIO DE SAN FELIPE, GTO. (RANCHO NUEVO DEL CARRIZO)</t>
  </si>
  <si>
    <t>EQUIPAMIENTO CON ESTUFAS ECOLOGICAS (FOGÓN ECOLÓGICO) EN EL MUNICIPIO DE SAN FELIPE, GTO. (TIERRAS PRIETAS )</t>
  </si>
  <si>
    <t>EQUIPAMIENTO CON ESTUFAS ECOLOGICAS (FOGÓN ECOLÓGICO) EN EL MUNICIPIO DE SAN FELIPE, GTO. (SAN JOSÉ DEL TANQUE)</t>
  </si>
  <si>
    <t>EQUIPAMIENTO CON ESTUFAS ECOLOGICAS (FOGÓN ECOLÓGICO) EN EL MUNICIPIO DE SAN FELIPE, GTO. (SAN ANTONIO DE JESÚS MARÍA)</t>
  </si>
  <si>
    <t>EQUIPAMIENTO CON ESTUFAS ECOLOGICAS (FOGÓN ECOLÓGICO) EN EL MUNICIPIO DE SAN FELIPE, GTO. (EL DURAZNO)</t>
  </si>
  <si>
    <t>EQUIPAMIENTO CON ESTUFAS ECOLOGICAS (FOGÓN ECOLÓGICO) EN EL MUNICIPIO DE SAN FELIPE, GTO. (EJIDO HERNÁNDEZ ÁLVAREZ)</t>
  </si>
  <si>
    <t>EQUIPAMIENTO CON ESTUFAS ECOLOGICAS (FOGÓN ECOLÓGICO) EN EL MUNICIPIO DE SAN FELIPE, GTO. (SAN BARTOLO DE BERRIOS)</t>
  </si>
  <si>
    <t>EQUIPAMIENTO CON ESTUFAS ECOLOGICAS (FOGÓN ECOLÓGICO) EN EL MUNICIPIO DE SAN FELIPE, GTO. (SANTA CATARINA)</t>
  </si>
  <si>
    <t>EQUIPAMIENTO CON ESTUFAS ECOLOGICAS (FOGÓN ECOLÓGICO) EN EL MUNICIPIO DE SAN FELIPE, GTO. (ESTANCIA DE SAN FRANCISCO)</t>
  </si>
  <si>
    <t>EQUIPAMIENTO CON ESTUFAS ECOLOGICAS (FOGÓN ECOLÓGICO) EN EL MUNICIPIO DE SAN FELIPE, GTO. (SANTA ROSA)</t>
  </si>
  <si>
    <t>EQUIPAMIENTO CON ESTUFAS ECOLOGICAS (FOGÓN ECOLÓGICO) EN EL MUNICIPIO DE SAN FELIPE, GTO. (PUERTO DE SANDOVAL)</t>
  </si>
  <si>
    <t>EQUIPAMIENTO CON ESTUFAS ECOLOGICAS (FOGÓN ECOLÓGICO) EN EL MUNICIPIO DE SAN FELIPE, GTO. (SAN ISIDRO Y CAPELLANÍA)</t>
  </si>
  <si>
    <t>EQUIPAMIENTO CON ESTUFAS ECOLOGICAS (FOGÓN ECOLÓGICO) EN EL MUNICIPIO DE SAN FELIPE, GTO. (GUADALUPE (EX HACIENDA CASCO DE LEQUEITIO))</t>
  </si>
  <si>
    <t>EQUIPAMIENTO CON ESTUFAS ECOLOGICAS (FOGÓN ECOLÓGICO) EN EL MUNICIPIO DE SAN FELIPE, GTO. (LOS ALISOS)</t>
  </si>
  <si>
    <t>EQUIPAMIENTO CON ESTUFAS ECOLOGICAS (FOGÓN ECOLÓGICO) EN EL MUNICIPIO DE SAN FELIPE, GTO. (LEQUEITIO)</t>
  </si>
  <si>
    <t>EQUIPAMIENTO CON ESTUFAS ECOLOGICAS (FOGÓN ECOLÓGICO) EN EL MUNICIPIO DE SAN FELIPE, GTO. (MAJADAS DE HUAPIMÍ)</t>
  </si>
  <si>
    <t>EQUIPAMIENTO CON ESTUFAS ECOLOGICAS (FOGÓN ECOLÓGICO) EN EL MUNICIPIO DE SAN FELIPE, GTO. (SAN ANTONIO DE LAS ALAZANAS(BUENOS AIRES))</t>
  </si>
  <si>
    <t>EQUIPAMIENTO CON ESTUFAS ECOLOGICAS (FOGÓN ECOLÓGICO) EN EL MUNICIPIO DE SAN FELIPE, GTO. (DESEADILLA)</t>
  </si>
  <si>
    <t>EQUIPAMIENTO CON ESTUFAS ECOLOGICAS (FOGÓN ECOLÓGICO) EN EL MUNICIPIO DE SAN FELIPE, GTO. (MIGUEL HIDALGO (CUERITOS))</t>
  </si>
  <si>
    <t>EQUIPAMIENTO CON ESTUFAS ECOLOGICAS (FOGÓN ECOLÓGICO) EN EL MUNICIPIO DE SAN FELIPE, GTO. (SAN AGUSTÍN (RANCHO LLANITO DE SAN AGUSTÍN))</t>
  </si>
  <si>
    <t>EQUIPAMIENTO CON ESTUFAS ECOLOGICAS (FOGÓN ECOLÓGICO) EN EL MUNICIPIO DE SAN FELIPE, GTO. (LA ANGOSTURA)</t>
  </si>
  <si>
    <t>EQUIPAMIENTO CON ESTUFAS ECOLOGICAS (FOGÓN ECOLÓGICO) EN EL MUNICIPIO DE SAN FELIPE, GTO. (OJO DE AGUA DEL CARRIZO)</t>
  </si>
  <si>
    <t>EQUIPAMIENTO CON ESTUFAS ECOLOGICAS (FOGÓN ECOLÓGICO) EN EL MUNICIPIO DE SAN FELIPE, GTO. (LA CEJA)</t>
  </si>
  <si>
    <t>EQUIPAMIENTO CON ESTUFAS ECOLOGICAS (FOGÓN ECOLÓGICO) EN EL MUNICIPIO DE SAN FELIPE, GTO. (EL APOSENTO (LA CONCEPCIÓN))</t>
  </si>
  <si>
    <t>EQUIPAMIENTO CON ESTUFAS ECOLOGICAS (FOGÓN ECOLÓGICO) EN EL MUNICIPIO DE SAN FELIPE, GTO. (SAN JOSÉ DEL LLANO)</t>
  </si>
  <si>
    <t>EQUIPAMIENTO CON ESTUFAS ECOLOGICAS (FOGÓN ECOLÓGICO) EN EL MUNICIPIO DE SAN FELIPE, GTO. (LOS CEDROS)</t>
  </si>
  <si>
    <t>EQUIPAMIENTO CON ESTUFAS ECOLOGICAS (FOGÓN ECOLÓGICO) EN EL MUNICIPIO DE SAN FELIPE, GTO. (EL ANCÓN)</t>
  </si>
  <si>
    <t>EQUIPAMIENTO CON ESTUFAS ECOLOGICAS (FOGÓN ECOLÓGICO) EN EL MUNICIPIO DE SAN FELIPE, GTO. (PUERTA DEL REFUGIO)</t>
  </si>
  <si>
    <t>EQUIPAMIENTO CON ESTUFAS ECOLOGICAS (FOGÓN ECOLÓGICO) EN EL MUNICIPIO DE SAN FELIPE, GTO. (LOS POCITOS (LOS CUICILLOS))</t>
  </si>
  <si>
    <t>CONSTRUCCIÓN DE CALENTADOR SOLAR EN VIVIENDA EN EL MUNICIPIO DE SAN FELIPE, GTO. (SAN FELIPE)</t>
  </si>
  <si>
    <t>CONSTRUCCIÓN DE CALENTADOR SOLAR EN VIVIENDA EN EL MUNICIPIO DE SAN FELIPE, GTO. (SAN BARTOLO DE BERRIOS)</t>
  </si>
  <si>
    <t>CONSTRUCCIÓN DE CALENTADOR SOLAR EN VIVIENDA EN EL MUNICIPIO DE SAN FELIPE, GTO. (LAGUNA DE GUADALUPE)</t>
  </si>
  <si>
    <t>CONSTRUCCIÓN DE CALENTADOR SOLAR EN VIVIENDA EN EL MUNICIPIO DE SAN FELIPE, GTO. (PIEDRAS NEGRAS 0774)</t>
  </si>
  <si>
    <t>CONSTRUCCIÓN DE CALENTADOR SOLAR EN VIVIENDA EN EL MUNICIPIO DE SAN FELIPE, GTO. (SANTA CATARINA)</t>
  </si>
  <si>
    <t>CONSTRUCCIÓN DE CALENTADOR SOLAR EN VIVIENDA EN EL MUNICIPIO DE SAN FELIPE, GTO. (LA FRONTERA)</t>
  </si>
  <si>
    <t>CONSTRUCCIÓN DE CALENTADOR SOLAR EN VIVIENDA EN EL MUNICIPIO DE SAN FELIPE, GTO. (OJO DE AGUA DE SOMBREREROS)</t>
  </si>
  <si>
    <t>CONSTRUCCIÓN DE CALENTADOR SOLAR EN VIVIENDA EN EL MUNICIPIO DE SAN FELIPE, GTO. (SAN ANDRÉS DEL CUBO)</t>
  </si>
  <si>
    <t>CONSTRUCCIÓN DE CALENTADOR SOLAR EN VIVIENDA EN EL MUNICIPIO DE SAN FELIPE, GTO. (MASTRANTO DEL REFUGIO)</t>
  </si>
  <si>
    <t>CONSTRUCCIÓN DE CALENTADOR SOLAR EN VIVIENDA EN EL MUNICIPIO DE SAN FELIPE, GTO. (EL ORIENTE)</t>
  </si>
  <si>
    <t>CONSTRUCCIÓN DE CALENTADOR SOLAR EN VIVIENDA EN EL MUNICIPIO DE SAN FELIPE, GTO. (TRES ENCINOS)</t>
  </si>
  <si>
    <t>CONSTRUCCIÓN DE CALENTADOR SOLAR EN VIVIENDA EN EL MUNICIPIO DE SAN FELIPE, GTO. (SANTA FE)</t>
  </si>
  <si>
    <t>CONSTRUCCIÓN DE CALENTADOR SOLAR EN VIVIENDA EN EL MUNICIPIO DE SAN FELIPE, GTO. (EL CUERVO (EL LLANO DEL CUERVO))</t>
  </si>
  <si>
    <t>CONSTRUCCIÓN DE CALENTADOR SOLAR EN VIVIENDA EN EL MUNICIPIO DE SAN FELIPE, GTO. (MILPILLAS)</t>
  </si>
  <si>
    <t>CONSTRUCCIÓN DE CALENTADOR SOLAR EN VIVIENDA EN EL MUNICIPIO DE SAN FELIPE, GTO. (SAN ANTONIO DE LOS ALPES)</t>
  </si>
  <si>
    <t>CONSTRUCCIÓN DE CALENTADOR SOLAR EN VIVIENDA EN EL MUNICIPIO DE SAN FELIPE, GTO. (LA ANGOSTURA)</t>
  </si>
  <si>
    <t>CONSTRUCCIÓN DE CALENTADOR SOLAR EN VIVIENDA EN EL MUNICIPIO DE SAN FELIPE, GTO. (SANTIAGUILLO)</t>
  </si>
  <si>
    <t>CONSTRUCCIÓN DE CALENTADOR SOLAR EN VIVIENDA EN EL MUNICIPIO DE SAN FELIPE, GTO. (ESTANCITA DEL MAGUEY)</t>
  </si>
  <si>
    <t>CONSTRUCCIÓN DE CALENTADOR SOLAR EN VIVIENDA EN EL MUNICIPIO DE SAN FELIPE, GTO. (RANCHO NUEVO DEL CARRIZO)</t>
  </si>
  <si>
    <t>CONSTRUCCIÓN DE CALENTADOR SOLAR EN VIVIENDA EN EL MUNICIPIO DE SAN FELIPE, GTO. (LA HUERTA)</t>
  </si>
  <si>
    <t>CONSTRUCCIÓN DE CALENTADOR SOLAR EN VIVIENDA EN EL MUNICIPIO DE SAN FELIPE, GTO. (LEQUEITIO)</t>
  </si>
  <si>
    <t>CONSTRUCCIÓN DE CALENTADOR SOLAR EN VIVIENDA EN EL MUNICIPIO DE SAN FELIPE, GTO. (ESTANCIA DE SAN FRANCISCO)</t>
  </si>
  <si>
    <t>CONSTRUCCIÓN DE CALENTADOR SOLAR EN VIVIENDA EN EL MUNICIPIO DE SAN FELIPE, GTO. (SAN ANTONIO DE LAS ALAZANAS)</t>
  </si>
  <si>
    <t>CONSTRUCCIÓN DE CALENTADOR SOLAR EN VIVIENDA EN EL MUNICIPIO DE SAN FELIPE, GTO. (BUENAVISTA DEL CUBO)</t>
  </si>
  <si>
    <t>CONSTRUCCIÓN DE CALENTADOR SOLAR EN VIVIENDA EN EL MUNICIPIO DE SAN FELIPE, GTO. (SAN ISIDRO Y CAPELLANIA)</t>
  </si>
  <si>
    <t>CONSTRUCCIÓN DE CALENTADOR SOLAR EN VIVIENDA EN EL MUNICIPIO DE SAN FELIPE, GTO. (LA HERMA (LERMA))</t>
  </si>
  <si>
    <t>CONSTRUCCIÓN DE CALENTADOR SOLAR EN VIVIENDA EN EL MUNICIPIO DE SAN FELIPE, GTO. (EL TEPOZÁN DE SANTA RITA)</t>
  </si>
  <si>
    <t>CONSTRUCCIÓN DE CALENTADOR SOLAR EN VIVIENDA EN EL MUNICIPIO DE SAN FELIPE, GTO. (ESTACIÓN CHIRIMOYA)</t>
  </si>
  <si>
    <t>CONSTRUCCIÓN DE CALENTADOR SOLAR EN VIVIENDA EN EL MUNICIPIO DE SAN FELIPE, GTO. (PUERTO DE SANDOVAL)</t>
  </si>
  <si>
    <t>CONSTRUCCIÓN DE CALENTADOR SOLAR EN VIVIENDA EN EL MUNICIPIO DE SAN FELIPE, GTO. (PEÑA REDONDA)</t>
  </si>
  <si>
    <t>CONSTRUCCIÓN DE CALENTADOR SOLAR EN VIVIENDA EN EL MUNICIPIO DE SAN FELIPE, GTO. (LA CEJA)</t>
  </si>
  <si>
    <t>CONSTRUCCIÓN DE CALENTADOR SOLAR EN VIVIENDA EN EL MUNICIPIO DE SAN FELIPE, GTO. (OJO DE AGUA DEL CARRIZO)</t>
  </si>
  <si>
    <t>CONSTRUCCIÓN DE CALENTADOR SOLAR EN VIVIENDA EN EL MUNICIPIO DE SAN FELIPE, GTO. (LA ESTANCIA(LAS AVISPAS))</t>
  </si>
  <si>
    <t>CONSTRUCCIÓN DE CALENTADOR SOLAR EN VIVIENDA EN EL MUNICIPIO DE SAN FELIPE, GTO. (LA LAGUNITA)</t>
  </si>
  <si>
    <t>CONSTRUCCIÓN DE CALENTADOR SOLAR EN VIVIENDA EN EL MUNICIPIO DE SAN FELIPE, GTO. (PUERTO DE LA CARRETA 0184)</t>
  </si>
  <si>
    <t>CONSTRUCCIÓN DE CALENTADOR SOLAR EN VIVIENDA EN EL MUNICIPIO DE SAN FELIPE, GTO. (SAN JOSÉ DEL LLANO)</t>
  </si>
  <si>
    <t>CONSTRUCCIÓN DE CALENTADOR SOLAR EN VIVIENDA EN EL MUNICIPIO DE SAN FELIPE, GTO. (EL ANCÓN)</t>
  </si>
  <si>
    <t>CONSTRUCCIÓN DE CALENTADOR SOLAR EN VIVIENDA EN EL MUNICIPIO DE SAN FELIPE, GTO. (EL SAUCILLO)</t>
  </si>
  <si>
    <t>CONSTRUCCIÓN DE CALENTADOR SOLAR EN VIVIENDA EN EL MUNICIPIO DE SAN FELIPE, GTO. (EL ARO)</t>
  </si>
  <si>
    <t>CONSTRUCCIÓN DE CALENTADOR SOLAR EN VIVIENDA EN EL MUNICIPIO DE SAN FELIPE, GTO. (SANTA MARÍA DE GUADALUPE (LAS TORTUGAS))</t>
  </si>
  <si>
    <t>CONSTRUCCIÓN DE CALENTADOR SOLAR EN VIVIENDA EN EL MUNICIPIO DE SAN FELIPE, GTO. (EL MASTRANTO SUR)</t>
  </si>
  <si>
    <t>CONSTRUCCIÓN DE CALENTADOR SOLAR EN VIVIENDA EN EL MUNICIPIO DE SAN FELIPE, GTO. (EL AGUAJE SUR)</t>
  </si>
  <si>
    <t>CONSTRUCCIÓN DE CALENTADOR SOLAR EN VIVIENDA EN EL MUNICIPIO DE SAN FELIPE, GTO. (EL COECILLO)</t>
  </si>
  <si>
    <t>CONSTRUCCIÓN DE CALENTADOR SOLAR EN VIVIENDA EN EL MUNICIPIO DE SAN FELIPE, GTO. (MAGUEY SUR)</t>
  </si>
  <si>
    <t>CONSTRUCCIÓN DE CALENTADOR SOLAR EN VIVIENDA EN EL MUNICIPIO DE SAN FELIPE, GTO. (POTRERO DE LA CRUZ)</t>
  </si>
  <si>
    <t>CONSTRUCCIÓN DE CALENTADOR SOLAR EN VIVIENDA EN EL MUNICIPIO DE SAN FELIPE, GTO. (LOS POCITOS (LOS CUICILLOS))</t>
  </si>
  <si>
    <t>CONSTRUCCIÓN DE CALENTADOR SOLAR EN VIVIENDA EN EL MUNICIPIO DE SAN FELIPE, GTO. (LA LABOR DE LA VIRGEN)</t>
  </si>
  <si>
    <t>Construcción de Techado de cancha de usos múltiples en Escuela Primaria de la localidad Fuerte Viejo, en el Municipio de San Felipe, Gto.</t>
  </si>
  <si>
    <t>Construcción de techado de cancha de usos múltiples en TV Secundaria No. 238, en localidad Santa Rosa, San Felipe, Gto. (Segunda etapa)</t>
  </si>
  <si>
    <t>Construcción de cancha de futbol 7 en Instituto Tecnológico Superior de Irapuato (ITESI), extensión San Felipe, en el Municipio de San Felipe, Gto.</t>
  </si>
  <si>
    <t>Construcción de Techado de cancha de usos múltiples de la Secundaria Técnica 18 de la localidad Jaral de Berrios, en el Municipio de San Felipe, Gto.</t>
  </si>
  <si>
    <t>Construcción de Techado de cancha en Escuela Secundaria Bicentenario, en la Localidad San Felipe, en el Municipio de San Felipe, Gto.</t>
  </si>
  <si>
    <t>Construcción de Techado de cancha de usos múltiples en Escuela Primaria Benito Juárez, en la Localidad San Felipe, en el Municipio de San Felipe, Gto.</t>
  </si>
  <si>
    <t>Construcción de barda perimetral de la Escuela Primaria Niños Héroes de la comunidad Ex Estación Chirimoya, en el Municipio de San Felipe, Gto.</t>
  </si>
  <si>
    <t>Construcción de aula en la escuela primaria Ignacio Ramírez de la localidad de San José del Tanque, en el Municipio de San Felipe, Gto.</t>
  </si>
  <si>
    <t>Construcción de barda perimetral en la ESTV 663 de la comunidad Sauceda de la Luz, en el Municipio de San Felipe, Gto.</t>
  </si>
  <si>
    <t>Construcción de líneas de conducción de agua potable en la localidad de Rancho Nuevo del Carrizo y anexas, Municipio de San Felipe, Gto. (Tercera etapa)</t>
  </si>
  <si>
    <t>Construcción de línea de conducción, tanque elevado y red de distribución de agua potable, en la localidad de La Labor del Municipio de San Felipe, Guanajuato (Tercera etapa)</t>
  </si>
  <si>
    <t>Equipamiento de pozo profundo para abastecimiento de agua potable en San Antonio del Maguey y localidades anexas del Municipio de San Felipe, Guanajuato</t>
  </si>
  <si>
    <t>Construcción de línea de conducción, tanque y red de distribución de agua potable, en la localidad de El Saucito, Municipio de San Felipe, Guanajuato. (Primera etapa)</t>
  </si>
  <si>
    <t>Construcción de tanque de almacenamiento de agua potable en la localidad Rincón de Ortega, en el Municipio de San Felipe, Gto.</t>
  </si>
  <si>
    <t>Construcción de línea de conducción de agua potable, en la localidad de Manzanales, Municipio de San Felipe, Guanajuato.</t>
  </si>
  <si>
    <t>Rehabilitación y/o ampliación del sistema de agua potable en la localidad Santa Catarina, Mpio. San Felipe, Gto.</t>
  </si>
  <si>
    <t>Construcción de red de drenaje sanitario y sistema de tratamiento en la localidad La Tapona, Municipio de San Felipe, Gto. (Primera etapa)</t>
  </si>
  <si>
    <t>Construcción de planta de tratamiento de aguas residuales y colector sanitario en el Municipio de San Felipe, Gto., en la localidad Cantera Sur (Segunda etapa)</t>
  </si>
  <si>
    <t>Construcción de planta de tratamiento de aguas residuales en la localidad Fabrica de Melchor, Mpio. de San Felipe, Gto. (Primera etapa)</t>
  </si>
  <si>
    <t>Construcción de drenaje sanitario y planta de tratamiento de aguas residuales en la localidad La Quemada, Mpio. de San Felipe, Gto. (Primera Etapa)</t>
  </si>
  <si>
    <t>Construcción de calle con empedrado en el Municipio de San Felipe, Gto., en la localidad Lequeitio, en la calle Sonora</t>
  </si>
  <si>
    <t>Construcción de calle con empedrado en el Municipio de San Felipe, Gto., en la localidad Chirimoya (Estación Chirimoya), en la calle Salinas de Gortari</t>
  </si>
  <si>
    <t>Construcción de calle con empedrado en el municipio de San Felipe, Gto., en la localidad Guadalupe (Ex Hacienda Casco de Lequeitio), en la calle Celaya. (Segunda Etapa)</t>
  </si>
  <si>
    <t>Construcción de calle con empedrado en el Municipio de San Felipe, Gto., en la localidad La Angostura, Calle Principal</t>
  </si>
  <si>
    <t>Construcción de calle con concreto en el Municipio de San Felipe, Gto., en la localidad San Felipe, Colonia Los Espinos, Calle Prolongación Congreso (Segunda etapa)</t>
  </si>
  <si>
    <t>Construcción de calle con empedrado en el municipio de San Felipe, Gto., localidad Santa Rosa, Calle Emiliano Zapata (Segunda etapa)</t>
  </si>
  <si>
    <t>Construcción de calle con empedrado en el municipio de San Felipe, Gto., en la localidad Jaral de Berrios (Estación Jaral), en la calle Saturno</t>
  </si>
  <si>
    <t>Construcción de calle con empedrado en el Municipio de San Felipe, Gto., en la localidad San Francisco, Calle Principal</t>
  </si>
  <si>
    <t>Construcción de calle con empedrado en el Municipio de San Felipe, Gto., en la localidad Molino de San José, Calle Principal</t>
  </si>
  <si>
    <t>Construcción de calle con empedrado en el Municipio de San Felipe, Gto., en la localidad Providencia de Guadalupe, Calle Principal (4ta etapa)</t>
  </si>
  <si>
    <t>Construcción de calle con empedrado en el Municipio de San Felipe, Gto., en la localidad Santa Catarina, en la calle Av. Juárez (Tercera Etapa)</t>
  </si>
  <si>
    <t>Construcción de calle con concreto en el Municipio de San Felipe, Gto., localidad San Felipe, en la Colonia Aviación, en la calle Aviadores (Segunda etapa)</t>
  </si>
  <si>
    <t>Construcción de calle con empedrado de la calle Miguel Hidalgo, en la localidad de Chirimoya Vieja, Municipio de San Felipe, Gto. 3ra Etapa</t>
  </si>
  <si>
    <t>Construcción de calle en el municipio de San Felipe, Gto. localidad Lequeitio, en la calle Querétaro (Tercera etapa)</t>
  </si>
  <si>
    <t>Construcción de calle con concreto y empedrado en el Municipio de San Felipe, Gto., en la localidad El Tejocote (El Domingo), Calle Principal</t>
  </si>
  <si>
    <t>Construcción de calle con empedrado en el Municipio de San Felipe, Gto., en la localidad San Bartolo de Berrios, en la calle San Miguel (3ra. Etapa)</t>
  </si>
  <si>
    <t>Construcción de calle con empedrado en el Municipio de San Felipe, Gto., en la localidad San Andrés del Cubo, Calle Guanajuato</t>
  </si>
  <si>
    <t>Construcción de calle con empedrado en el Municipio de San Felipe, Gto., en la localidad El Carretón, en la calle Pino Suárez</t>
  </si>
  <si>
    <t>Construcción de camino a base de empedrado y huella de concreto en el Municipio de San Felipe, Gto., en la localidad El Zapote (4ta etapa)</t>
  </si>
  <si>
    <t>Construcción de camino a base de empedrado y huella de concreto en el municipio de San Felipe, Gto. en la localidad Estancia de San Francisco (3ra. Etapa)</t>
  </si>
  <si>
    <t>Construcción de camino a base de empedrado y huella de concreto en el Municipio de San Felipe, Gto., en la localidad La Cieneguita (4ta etapa)</t>
  </si>
  <si>
    <t>Construcción de camino a base de empedrado y huella de concreto en el Municipio de San Felipe, Gto., en la localidad La Ciénega (2da etapa)</t>
  </si>
  <si>
    <t>Construcción de camino a base de empedrado y huella de concreto en el Municipio de San Felipe, Gto., en la localidad Los Martínez (7ma etapa)</t>
  </si>
  <si>
    <t>Construcción de camino a base de empedrado y huella de concreto en el Municipio de San Felipe, Gto., en la localidad Aranjuez (3ra. Etapa)</t>
  </si>
  <si>
    <t>Construcción de camino a base de empedrado y huella de concreto en el Municipio de San Felipe, Gto., en la localidad El Sauz (Tramo San José de los Barcos – El Sauz) (Segunda etapa)</t>
  </si>
  <si>
    <t>Construcción de camino a base de empedrado y huella de concreto en el Municipio de San Felipe, Gto., en la localidad La Fabrica de Guadalupe (Segunda etapa)</t>
  </si>
  <si>
    <t>Construcción  de camino a base de empedrado y huella de concreto en el municipio de San Felipe, Gto., en la localidad La Palma (Tercera etapa)</t>
  </si>
  <si>
    <t>Construcción de camino a base de empedrado y huella de concreto en el Municipio de San Felipe, Gto., en la localidad Rancho Nuevo del Salto (Segunda etapa)</t>
  </si>
  <si>
    <t>Construcción de camino a base de empedrado y huella de concreto en el Municipio de San Felipe, Gto., en la localidad El Maguey Sur (Segunda etapa)</t>
  </si>
  <si>
    <t>Construcción de camino a base de empedrado y huella de concreto en el Municipio de San Felipe, Gto., en la localidad Santo Domingo de Guzmán (Segunda etapa)</t>
  </si>
  <si>
    <t>Rehabilitación de camino de acceso en el Municipio de San Felipe, Gto., en la localidad Puerto de Sandoval</t>
  </si>
  <si>
    <t>Construcción de camino a base de empedrado y huella de concreto en el Municipio de San Felipe, Gto., en la localidad Santa Fe (Segunda etapa)</t>
  </si>
  <si>
    <t>Construcción de camino a base de empedrado y huella de concreto en el Municipio de San Felipe, Gto., en la localidad San José del Tanque</t>
  </si>
  <si>
    <t>Construcción de camino principal (Tercera etapa) en la Localidad Tierras Prietas, del Municipio de San Felipe, Gto.</t>
  </si>
  <si>
    <t>Sistema de agua potable segunda etapa en las localidades las localidades de Salto del Ahogado, San José del Muerto y Tampico (San Felipe), Gto.</t>
  </si>
  <si>
    <t>LOS ALTOS DE IBARRA</t>
  </si>
  <si>
    <t>EL ROSARIO (LA LIEBRE)</t>
  </si>
  <si>
    <t>PROVIDENCIA DEL LLANO</t>
  </si>
  <si>
    <t>SALTO DEL AHOGADO</t>
  </si>
  <si>
    <t>PALMITAS (PALMILLAS)</t>
  </si>
  <si>
    <t>EL ORIENTE</t>
  </si>
  <si>
    <t>TEPOZÁN</t>
  </si>
  <si>
    <t>TRES ENCINOS</t>
  </si>
  <si>
    <t>LA SOLEDAD</t>
  </si>
  <si>
    <t>LOMAS DE LA ASUNCIÓN (EL PUJIDO)</t>
  </si>
  <si>
    <t>LA TAPONA</t>
  </si>
  <si>
    <t>EL SAUZ</t>
  </si>
  <si>
    <t>RINCÓN DE ORTEGA</t>
  </si>
  <si>
    <t>EL MEZQUITE (SAN MARTÍN DEL MEZQUITE)</t>
  </si>
  <si>
    <t>OJO DE AGUA DE SAN MIGUEL (EL COYOTE)</t>
  </si>
  <si>
    <t>MARÍA AUXILIADORA</t>
  </si>
  <si>
    <t>LA CEJA</t>
  </si>
  <si>
    <t>JARAL DE BERRIOS (ESTACIÓN JARAL)</t>
  </si>
  <si>
    <t>JOYAS DE MADROÑO</t>
  </si>
  <si>
    <t>OJO DE AGUA DEL CARRIZO</t>
  </si>
  <si>
    <t>LA ANGOSTURA</t>
  </si>
  <si>
    <t>CHIRIMOYA (ESTACIÓN CHIRIMOYA)</t>
  </si>
  <si>
    <t>EMILIANO ZAPATA (ZAVALA)</t>
  </si>
  <si>
    <t>GUADALUPE (EX-HACIENDA CASCO DE LEQUEITIO)</t>
  </si>
  <si>
    <t>NOPALES</t>
  </si>
  <si>
    <t>SAN ISIDRO DE CAPELLANÍA</t>
  </si>
  <si>
    <t>SANTO DOMINGO DE GUZMÁN</t>
  </si>
  <si>
    <t>LA FRONTERA</t>
  </si>
  <si>
    <t>PUERTO ALTO (BUENOS AIRES)</t>
  </si>
  <si>
    <t>SAN ANTONIO (SAN ANTONIO DE JESÚS MARÍA)</t>
  </si>
  <si>
    <t>EL DURAZNO</t>
  </si>
  <si>
    <t>EJIDO HERNÁNDEZ ÁLVAREZ</t>
  </si>
  <si>
    <t>PUERTO DE SANDOVAL</t>
  </si>
  <si>
    <t>SAN ISIDRO Y CAPELLANÍA</t>
  </si>
  <si>
    <t>LOS ALISOS</t>
  </si>
  <si>
    <t>MAJADAS DE HUAPIMÍ</t>
  </si>
  <si>
    <t>SAN ANTONIO DE LAS ALAZANAS (BUENOS AIRES)</t>
  </si>
  <si>
    <t>SAN AGUSTÍN (RANCHO LLANITO DE SAN AGUSTÍN)</t>
  </si>
  <si>
    <t>EL APOSENTO (LA CONCEPCIÓN)</t>
  </si>
  <si>
    <t>SAN JOSÉ DEL LLANO</t>
  </si>
  <si>
    <t>LOS CEDROS</t>
  </si>
  <si>
    <t>PUERTA DEL REFUGIO</t>
  </si>
  <si>
    <t>LOS POCITOS (LOS CUICILLOS)</t>
  </si>
  <si>
    <t>OJO DE AGUA DE SOMBREREROS (EL DERRAMADERO)</t>
  </si>
  <si>
    <t>SANTA FE</t>
  </si>
  <si>
    <t>EL CUERVO (LLANO DEL CUERVO)</t>
  </si>
  <si>
    <t>MILPILLAS</t>
  </si>
  <si>
    <t>SAN ANTONIO DE LOS ALPES (EL ROMERO)</t>
  </si>
  <si>
    <t>SANTIAGUILLO</t>
  </si>
  <si>
    <t>LA HERMA (LERMA)</t>
  </si>
  <si>
    <t>PEÑA REDONDA</t>
  </si>
  <si>
    <t>LA ESTANCIA (LAS AVISPAS)</t>
  </si>
  <si>
    <t>PUERTO DE LA CARRETA</t>
  </si>
  <si>
    <t>SANTA MARÍA DE GUADALUPE (LAS TORTUGAS)</t>
  </si>
  <si>
    <t>EL MASTRANTO SUR</t>
  </si>
  <si>
    <t>EL AGUAJE SUR</t>
  </si>
  <si>
    <t>MAGUEY SUR</t>
  </si>
  <si>
    <t>POTRERO DE LA CRUZ</t>
  </si>
  <si>
    <t>MANZANALES</t>
  </si>
  <si>
    <t>PROVIDENCIA DE GUADALUPE (ESTANCIA)</t>
  </si>
  <si>
    <t>LA CIÉNEGA</t>
  </si>
  <si>
    <t>RANCHO NUEVO DEL SALTO</t>
  </si>
  <si>
    <t>(01 de Enero al 31 de Marzo) Trimestre 1er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</si>
</sst>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_ ;[Red]\-#,##0\ "/>
    <numFmt numFmtId="165" formatCode="dd/mm/yyyy;@"/>
    <numFmt numFmtId="166" formatCode="#,##0.00_ ;[Red]\-#,##0.00\ "/>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101">
    <xf numFmtId="0" fontId="0" fillId="0" borderId="0" xfId="0"/>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64" fontId="0" fillId="0" borderId="0" xfId="0" applyNumberFormat="1" applyFont="1" applyAlignment="1">
      <alignment horizontal="center" vertical="center"/>
    </xf>
    <xf numFmtId="44" fontId="0" fillId="0" borderId="0" xfId="0" applyNumberFormat="1" applyFon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Font="1" applyAlignment="1">
      <alignment horizontal="right" vertical="center"/>
    </xf>
    <xf numFmtId="164" fontId="0" fillId="0" borderId="0" xfId="0" applyNumberFormat="1" applyFon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0" xfId="0" applyFont="1" applyFill="1" applyAlignment="1">
      <alignment horizontal="center" vertical="center"/>
    </xf>
    <xf numFmtId="0" fontId="0" fillId="4"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44" fontId="0" fillId="0" borderId="1" xfId="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3" fontId="0" fillId="0" borderId="6" xfId="0" applyNumberFormat="1" applyFont="1" applyFill="1" applyBorder="1" applyAlignment="1">
      <alignment horizontal="center" vertical="center"/>
    </xf>
    <xf numFmtId="0" fontId="0" fillId="0" borderId="0" xfId="0" applyFont="1" applyFill="1" applyAlignment="1">
      <alignment vertical="center"/>
    </xf>
    <xf numFmtId="165" fontId="0" fillId="0" borderId="1"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Fill="1" applyBorder="1" applyAlignment="1">
      <alignment horizontal="center" vertical="center" wrapText="1"/>
    </xf>
    <xf numFmtId="44" fontId="0" fillId="0" borderId="0" xfId="1" applyFont="1" applyFill="1" applyBorder="1" applyAlignment="1">
      <alignment horizontal="center" vertical="center"/>
    </xf>
    <xf numFmtId="44" fontId="0"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44" fontId="2" fillId="0" borderId="0" xfId="0" applyNumberFormat="1" applyFont="1" applyFill="1" applyAlignment="1">
      <alignment vertical="center"/>
    </xf>
    <xf numFmtId="0" fontId="4" fillId="0" borderId="0" xfId="0" applyFont="1" applyFill="1" applyAlignment="1">
      <alignment horizontal="center" vertical="center"/>
    </xf>
    <xf numFmtId="4" fontId="0" fillId="0" borderId="1" xfId="0" applyNumberFormat="1" applyFont="1" applyFill="1" applyBorder="1" applyAlignment="1">
      <alignment horizontal="justify"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44" fontId="0" fillId="0" borderId="0" xfId="1" applyFont="1" applyFill="1" applyAlignment="1">
      <alignment vertical="center"/>
    </xf>
    <xf numFmtId="0" fontId="0" fillId="0" borderId="0" xfId="0" applyFont="1" applyFill="1" applyAlignment="1">
      <alignment horizontal="center" vertical="center" wrapText="1"/>
    </xf>
    <xf numFmtId="3"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1" applyNumberFormat="1" applyFont="1" applyFill="1" applyBorder="1" applyAlignment="1">
      <alignment vertical="center"/>
    </xf>
    <xf numFmtId="44" fontId="0" fillId="0" borderId="0" xfId="1" applyFont="1" applyBorder="1" applyAlignment="1">
      <alignment horizontal="center" vertical="center"/>
    </xf>
    <xf numFmtId="0" fontId="0" fillId="0" borderId="1" xfId="0" applyFont="1" applyFill="1" applyBorder="1" applyAlignment="1">
      <alignment horizontal="center" vertical="center" wrapText="1"/>
    </xf>
    <xf numFmtId="0" fontId="0" fillId="5"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6" borderId="7" xfId="4" applyFont="1" applyFill="1" applyBorder="1" applyAlignment="1">
      <alignment horizontal="right" vertical="top" wrapText="1"/>
    </xf>
    <xf numFmtId="0" fontId="7" fillId="7" borderId="0" xfId="0" applyFont="1" applyFill="1" applyAlignment="1">
      <alignment horizontal="center" vertical="top" wrapText="1"/>
    </xf>
    <xf numFmtId="166" fontId="7" fillId="8" borderId="0" xfId="3" applyNumberFormat="1" applyFont="1" applyFill="1" applyAlignment="1">
      <alignment horizontal="center" vertical="top" wrapText="1"/>
    </xf>
    <xf numFmtId="0" fontId="8" fillId="0" borderId="0" xfId="0" applyFont="1" applyFill="1" applyAlignment="1">
      <alignment horizontal="center" vertical="top"/>
    </xf>
    <xf numFmtId="0" fontId="8" fillId="0" borderId="0" xfId="0" applyFont="1" applyFill="1" applyAlignment="1">
      <alignment horizontal="justify" vertical="top" wrapText="1"/>
    </xf>
    <xf numFmtId="4" fontId="9" fillId="0" borderId="0" xfId="3" applyNumberFormat="1" applyFont="1" applyFill="1" applyAlignment="1">
      <alignment vertical="top"/>
    </xf>
    <xf numFmtId="0" fontId="8" fillId="0" borderId="0" xfId="0" applyFont="1" applyFill="1" applyAlignment="1">
      <alignment horizontal="left" vertical="top" wrapText="1"/>
    </xf>
    <xf numFmtId="4" fontId="10" fillId="0" borderId="0" xfId="0" applyNumberFormat="1" applyFont="1" applyFill="1" applyAlignment="1" applyProtection="1">
      <alignment vertical="top"/>
    </xf>
    <xf numFmtId="0" fontId="11" fillId="0" borderId="0" xfId="0" applyFont="1" applyFill="1" applyAlignment="1">
      <alignment horizontal="center" vertical="top"/>
    </xf>
    <xf numFmtId="0" fontId="11" fillId="0" borderId="0" xfId="0" applyFont="1" applyFill="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0" fillId="3"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9" borderId="0" xfId="0" applyFont="1" applyFill="1" applyAlignment="1">
      <alignment horizontal="justify" vertical="top" wrapText="1"/>
    </xf>
    <xf numFmtId="0" fontId="8" fillId="10" borderId="0" xfId="0" applyFont="1" applyFill="1" applyAlignment="1">
      <alignment horizontal="justify" vertical="top" wrapText="1"/>
    </xf>
    <xf numFmtId="0" fontId="8" fillId="3" borderId="0" xfId="0" applyFont="1" applyFill="1" applyAlignment="1">
      <alignment horizontal="center" vertical="top"/>
    </xf>
    <xf numFmtId="0" fontId="8" fillId="3" borderId="0" xfId="0" applyFont="1" applyFill="1" applyAlignment="1">
      <alignment horizontal="justify" vertical="top" wrapText="1"/>
    </xf>
    <xf numFmtId="4" fontId="9" fillId="3" borderId="0" xfId="3" applyNumberFormat="1" applyFont="1" applyFill="1" applyAlignment="1">
      <alignment vertical="top"/>
    </xf>
    <xf numFmtId="0" fontId="11" fillId="3" borderId="0" xfId="0" applyFont="1" applyFill="1" applyAlignment="1">
      <alignment horizontal="center" vertical="top"/>
    </xf>
    <xf numFmtId="0" fontId="11" fillId="3" borderId="0" xfId="0" applyFont="1" applyFill="1" applyAlignment="1">
      <alignment horizontal="justify" vertical="top" wrapText="1"/>
    </xf>
    <xf numFmtId="4" fontId="10" fillId="3" borderId="0" xfId="0" applyNumberFormat="1" applyFont="1" applyFill="1" applyAlignment="1" applyProtection="1">
      <alignment vertical="top"/>
    </xf>
    <xf numFmtId="0" fontId="0" fillId="0" borderId="1" xfId="0" applyFont="1" applyFill="1" applyBorder="1" applyAlignment="1">
      <alignment horizontal="center" vertical="center" wrapText="1"/>
    </xf>
    <xf numFmtId="0" fontId="0" fillId="5"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65" fontId="0" fillId="0" borderId="2" xfId="0" applyNumberFormat="1" applyFont="1" applyFill="1" applyBorder="1" applyAlignment="1">
      <alignment horizontal="center" vertical="center" wrapText="1"/>
    </xf>
    <xf numFmtId="44" fontId="0" fillId="0" borderId="0"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44" fontId="0" fillId="2" borderId="3" xfId="0" applyNumberFormat="1" applyFont="1" applyFill="1" applyBorder="1" applyAlignment="1">
      <alignment horizontal="center" vertical="center"/>
    </xf>
    <xf numFmtId="0" fontId="0" fillId="2" borderId="5" xfId="0" applyFont="1" applyFill="1" applyBorder="1" applyAlignment="1">
      <alignment horizontal="center" vertical="center"/>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cellXfs>
  <cellStyles count="5">
    <cellStyle name="Millares" xfId="3" builtinId="3"/>
    <cellStyle name="Moneda" xfId="1" builtinId="4"/>
    <cellStyle name="Normal" xfId="0" builtinId="0"/>
    <cellStyle name="Normal_COG 2010" xfId="4"/>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Documentos/Desk/00002%20Adm%202021-2024/A&#241;o%202023/04.%204ta%20Modificaci&#243;n%20Presupuestal%20POA%202023/4ta%20Modificaci&#243;n%20Presupuestal%20POA%202023%20Para%20Trabajo%2018%2008%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Pron Ingresos 2023 SAP"/>
      <sheetName val="Pronostico Ing Hana 2023"/>
      <sheetName val="acumulado areas"/>
      <sheetName val="Presupuesto Egresos POA 2023"/>
      <sheetName val="Reporte Cap1000 3981"/>
      <sheetName val="CLASIFICACION PROGRAM x FDO"/>
      <sheetName val="POR LOC FAISM 2023"/>
      <sheetName val="CLASIF POA x FDO"/>
      <sheetName val="CLAS PROG"/>
      <sheetName val="CLAS FISMDF 2023"/>
      <sheetName val="ORIGEN ING DEST GTO"/>
      <sheetName val="CLAS Contratos"/>
      <sheetName val="Matriz GOG Hana"/>
      <sheetName val="Fondos Hana 21-12-22"/>
      <sheetName val="borrar"/>
      <sheetName val="Prog Presup Egr HANA"/>
      <sheetName val="1000 ADVO"/>
      <sheetName val="1000 SegP y PC"/>
      <sheetName val="EgrSAPDIC"/>
      <sheetName val="COG Anterior"/>
      <sheetName val="CLAS ADVA OB GTO"/>
      <sheetName val="REP A.F."/>
      <sheetName val="CLSIFICACION ADMINISTRATIVA"/>
      <sheetName val="CLAS ADVA"/>
      <sheetName val="Fondo Aportaciones"/>
      <sheetName val="Clasif FteFinanc"/>
      <sheetName val="Clasif TipoGasto"/>
      <sheetName val="Formato 7 Proy Egr LDF"/>
      <sheetName val="Convenio x Cap Gto"/>
    </sheetNames>
    <sheetDataSet>
      <sheetData sheetId="0"/>
      <sheetData sheetId="1"/>
      <sheetData sheetId="2"/>
      <sheetData sheetId="3"/>
      <sheetData sheetId="4">
        <row r="2156">
          <cell r="P2156" t="str">
            <v>Construcción de líneas de conducción de agua potable en la localidad de Rancho Nuevo del Carrizo y anexas, Municipio de San Felipe, Gto. (Segunda etapa)</v>
          </cell>
        </row>
        <row r="2157">
          <cell r="P2157" t="str">
            <v>Construcción de línea de conducción, tanque elevado y red de distribución de agua potable, en la localidad de La Labor del Municipio de San Felipe, Guanajuato (Segunda etapa)</v>
          </cell>
        </row>
        <row r="2158">
          <cell r="P2158" t="str">
            <v>Perforación de pozo profundo para abastecimiento de agua potable en el Municipio de San Felipe, Gto., en la localidad de San Antonio del Maguey</v>
          </cell>
        </row>
        <row r="2161">
          <cell r="P2161" t="str">
            <v>Construcción de línea de conducción de agua potable en el Municipio de San Felipe, Gto., en la localidad Piedras Negras</v>
          </cell>
        </row>
        <row r="2162">
          <cell r="P2162" t="str">
            <v>Construcción de tanque elevado para almacenamiento de agua potable, en el Municipio de San Felipe, Gto., en la localidad de Estancia del Cubito</v>
          </cell>
        </row>
        <row r="2163">
          <cell r="P2163" t="str">
            <v>Rehabilitación pozo profundo para abastecimiento de agua potable en el Municipio de San Felipe, gto., en la localidad La Sauceda de la Luz</v>
          </cell>
        </row>
        <row r="2164">
          <cell r="P2164" t="str">
            <v>Rehabilitación de instalaciones de pozos y tanques de almacenamiento de agua potable en el Municipio de San Felipe, Gto., en la localidad Molino de San José</v>
          </cell>
        </row>
        <row r="2166">
          <cell r="P2166" t="str">
            <v>Rehabilitación de instalaciones de pozos y tanques de almacenamiento de agua potable en el Municipio de San Felipe, Gto., en la localidad San José del Rayo</v>
          </cell>
        </row>
        <row r="2167">
          <cell r="P2167" t="str">
            <v>Rehabilitación de instalaciones de pozos y tanques de almacenamiento de agua potable en el Municipio de San Felipe, Gto., en la localidad Los Arrastres</v>
          </cell>
        </row>
        <row r="2168">
          <cell r="P2168" t="str">
            <v>Rehabilitación de instalaciones de pozos y tanques de almacenamiento de agua potable en el Municipio de San Felipe, Gto., en la localidad La Palma</v>
          </cell>
        </row>
        <row r="2169">
          <cell r="P2169" t="str">
            <v>Rehabilitación de instalaciones de pozos y tanques de almacenamiento de agua potable en el Municipio de San Felipe, Gto., en la localidad Las Hartonas</v>
          </cell>
        </row>
        <row r="2170">
          <cell r="P2170" t="str">
            <v>Rehabilitación de instalaciones de pozos y tanques de almacenamiento de agua potable en el Municipio de San Felipe, Gto., en la localidad Las Pilas del Sur</v>
          </cell>
        </row>
        <row r="2171">
          <cell r="P2171" t="str">
            <v>Rehabilitación de instalaciones de pozos y tanques de almacenamiento de agua potable en el Municipio de San Felipe, Gto., en la localidad San José de la Peña</v>
          </cell>
        </row>
        <row r="2172">
          <cell r="P2172" t="str">
            <v>Rehabilitación de instalaciones de pozos y tanques de almacenamiento de agua potable en el Municipio de San Felipe, Gto., en la localidad Providencia de Guadalupe (Estancia)</v>
          </cell>
        </row>
        <row r="2173">
          <cell r="P2173" t="str">
            <v>Rehabilitación de instalaciones de pozos y tanques de almacenamiento de agua potable en el Municipio de San Felipe, Gto., en la localidad Las Avispas</v>
          </cell>
        </row>
        <row r="2174">
          <cell r="P2174" t="str">
            <v>Rehabilitación de instalaciones de pozos y tanques de almacenamiento de agua potable en el Municipio de San Felipe, Gto., en la localidad El Aro</v>
          </cell>
        </row>
        <row r="2175">
          <cell r="P2175" t="str">
            <v>Rehabilitación de instalaciones de pozos y tanques de almacenamiento de agua potable en el Municipio de San Felipe, Gto., en la localidad San Pedro de Almoloyán</v>
          </cell>
        </row>
        <row r="2176">
          <cell r="P2176" t="str">
            <v>Construcción de planta de tratamiento de aguas residuales en el Municipio de San Felipe, Gto., en la localidad San Bartolo de Berrios</v>
          </cell>
        </row>
        <row r="2177">
          <cell r="P2177" t="str">
            <v>Construcción de planta de tratamiento de aguas residuales en el Municipio de San Felipe, Gto., en la localidad Cantera Sur</v>
          </cell>
        </row>
        <row r="2178">
          <cell r="P2178" t="str">
            <v>Construcción de planta de tratamiento de aguas residuales en el Municipio de San Felipe, Gto., en la localidad Fábrica de Melchor</v>
          </cell>
        </row>
        <row r="2179">
          <cell r="P2179" t="str">
            <v>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v>
          </cell>
        </row>
        <row r="2180">
          <cell r="P2180" t="str">
            <v>Construcción de red de drenaje sanitario en el Municipio de San Felipe, Gto., en la localidad Miguel Hidalgo (Cueritos) (Segunda etapa)</v>
          </cell>
        </row>
        <row r="2181">
          <cell r="P2181" t="str">
            <v>Ampliación de electrificación en la localidad Fátima, en la Calle Loma Bonita, Calle Francisco Villa, Calle La Palmita, Calle Lomitas de Fátima, Calle Oro, Calle Linda Vista, Calle Gimador, Calle Los Pinos, Calle Las Mangas y Calle La Palma, Municipio de San Felipe, Gto.</v>
          </cell>
        </row>
        <row r="2182">
          <cell r="P2182" t="str">
            <v>Ampliación de electrificación en la localidad El Rosario (La Liebre), en la calle La Alameda y Calle Principal, Municipio de San Felipe, Gto.</v>
          </cell>
        </row>
        <row r="2183">
          <cell r="P2183" t="str">
            <v>Ampliación de electrificación en la localidad El Lindero, en la Calle Quetzalcóatl, Calle Miguel Hidalgo, Calle Francisco I. Madero, Calle Niños Héroes, Calle Cerrada Ojo de Agua, Calle 16 de Septiembre y Calle Cerrada Revolución, Municipio de San Felipe, Gto.</v>
          </cell>
        </row>
        <row r="2184">
          <cell r="P2184" t="str">
            <v>Ampliación de electrificación en la localidad La Huerta, en la Calle San Luis, Calle Privada San Luis y Calle Pérez, Municipio de San Felipe, Gto.</v>
          </cell>
        </row>
        <row r="2185">
          <cell r="P2185" t="str">
            <v>Ampliación de electrificación en el Municipio de San Felipe, Gto., en la localidad San Felipe, en la Colonia Granjas de la Conquista</v>
          </cell>
        </row>
        <row r="2197">
          <cell r="P2197" t="str">
            <v>Rehabilitación de alumbrado público en la Colonia Barrio de San Miguel, Cabecera Municipal de San Felipe, Gto.</v>
          </cell>
        </row>
        <row r="2199">
          <cell r="P2199" t="str">
            <v>Rehabilitación de alumbrado público en Fraccionamiento Hacienda San Miguel, Cabecera Municipal de San Felipe, Gto.</v>
          </cell>
        </row>
        <row r="2200">
          <cell r="P2200" t="str">
            <v>Rehabilitación de alumbrado público en Fraccionamiento La Huerta de San Agustin, Cabecera Municipal de San Felipe, Gto.</v>
          </cell>
        </row>
        <row r="2201">
          <cell r="P2201" t="str">
            <v>Rehabilitación de alumbrado público en la Colonia San Juan y Fraccionamiento Campestre, Cabecera Municipal de San Felipe, Gto.</v>
          </cell>
        </row>
        <row r="2202">
          <cell r="P2202" t="str">
            <v>Rehabilitación de alumbrado público en la Colonia Barrio Santuario, Cabecera Municipal de San Felipe, Gto.</v>
          </cell>
        </row>
        <row r="2203">
          <cell r="P2203" t="str">
            <v>Rehabilitación de alumbrado público en la Colonia Barrio La Conchita, Cabecera Municipal de San Felipe, Gto.</v>
          </cell>
        </row>
        <row r="2204">
          <cell r="P2204" t="str">
            <v>Rehabilitación de alumbrado público en la Colonia Independencia, Cabecera Municipal de San Felipe, Gto.</v>
          </cell>
        </row>
        <row r="2205">
          <cell r="P2205" t="str">
            <v>Rehabilitación de alumbrado público en la Colonia El Fraile, Cabecera Municipal de San Felipe, Gto.</v>
          </cell>
        </row>
        <row r="2206">
          <cell r="P2206" t="str">
            <v>Rehabilitación de alumbrado público en la Colonia Barrio Esquipulas, Cabecera Municipal de San Felipe, Gto.</v>
          </cell>
        </row>
        <row r="2207">
          <cell r="P2207" t="str">
            <v>Rehabilitación de alumbrado público en la Colonia Aviación, Cabecera Municipal de San Felipe, Gto.</v>
          </cell>
        </row>
        <row r="2208">
          <cell r="P2208" t="str">
            <v>Rehabilitación de alumbrado público en la Colonia Jardines de San Antonio, Cabecera Municipal de San Felipe, Gto.</v>
          </cell>
        </row>
        <row r="2209">
          <cell r="P2209" t="str">
            <v>Rehabilitación de alumbrado público en la Colonia Oriental, Cabecera Municipal de San Felipe, Gto.</v>
          </cell>
        </row>
        <row r="2229">
          <cell r="P2229" t="str">
            <v>CONSTRUCCIÓN DE CALLE CON EMPEDRADO EN EL MUNICIPIO DE SAN FELIPE, GTO. EN LA LOCALIDAD SAN BARTOLO DE BERRIOS, EN LA CALLE GUANAJUATO.</v>
          </cell>
        </row>
        <row r="2230">
          <cell r="P2230" t="str">
            <v>CONSTRUCCIÓN DE CALLE CON EMPEDRADO EN EL MUNICIPIO DE SAN FELIPE, GTO. EN LA LOCALIDAD SAN BARTOLO DE BERRIOS, EN LA CALLE SAN MIGUEL (1ERA ETAPA).</v>
          </cell>
        </row>
        <row r="2231">
          <cell r="P2231" t="str">
            <v>CONSTRUCCIÓN DE CALLE CON EMPEDRADO EN EL MUNICIPIO DE SAN FELIPE, GTO. EN LA LOCALIDAD EL CARRETÓN, EN LA CALLE ÁLVARO OBREGÓN.</v>
          </cell>
        </row>
        <row r="2232">
          <cell r="P2232" t="str">
            <v>DIV DE TERRENOS Y CONSTR DE OBRAS DE URBANIZACION</v>
          </cell>
        </row>
        <row r="2233">
          <cell r="P2233" t="str">
            <v>CONSTRUCCIÓN DE LÍNEAS DE CONDUCCIÓN DE AGUA POTABLE EN LA LOCALIDAD DE RANCHO NUEVO DEL CARRIZO Y ANEXAS</v>
          </cell>
        </row>
        <row r="2234">
          <cell r="P2234" t="str">
            <v>AMPLIACIÓN DE ELECTRIFICACIÓN EN EL MUNICIPIO DE SAN FELIPE, GTO., EN LA LOCALIDAD SAN PEDRO DE ALMOLOYA, EN LAS CALLES VICENTE GUERRERO, CALLE CRISTO REY Y CALLE REFORMA.</v>
          </cell>
        </row>
        <row r="2235">
          <cell r="P2235" t="str">
            <v>AMPLIACIÓN DE ELECTRIFICACIÓN EN EL MUNICIPIO DE SAN FELIPE, GTO., EN LA LOCALIDAD  EL ARO, EN LAS CALLES; LOS CHAGOYA, CARRETERA SAN FELIPE – SILAO KM 37.60, CALLE MARFIL, CALLE PRADERAS Y CALLE PRINCIPAL.</v>
          </cell>
        </row>
        <row r="2236">
          <cell r="P2236" t="str">
            <v>AMPLIACIÓN DE ELECTRIFICACIÓN EN EL MUNICIPIO DE SAN FELIPE, GTO., EN LA LOCALIDAD FUERTE VIEJO, EN LAS CALLES; 21 DE SEPTIEMBRE, LÁZARO CÁRDENAS, JOSÉ MARÍA MORELOS, JUAN ESCUTIA Y CARRETERA SAN FELIPE - OCAMPO KM 18.3.</v>
          </cell>
        </row>
        <row r="2237">
          <cell r="P2237" t="str">
            <v>PAVIMENTACIÓN CALLE PROLONGACIÓN CONGRESO, COL. LOS ESPINOS, CABECERA MUNICIPAL</v>
          </cell>
        </row>
        <row r="2238">
          <cell r="P2238" t="str">
            <v>CONSTRUCCION DE CALLE CON EMPEDRADO EN EL MUNICIPIO DE SAN FELIPE GTO., EN LA LOCALIDAD POBLADO DE GUADALUPE, EN LA CALLE CELAYA</v>
          </cell>
        </row>
        <row r="2239">
          <cell r="P2239" t="str">
            <v>CONSTRUCCION DE CALLE CON CONCRETO EN EL MUNICIPIO DE SAN FELIPE, GTO., EN LA LOCALIDAD CABECERA MUNICIPAL, EN LA COLONIA AVIACION, EN LA CALLE SOLIDARIDAD</v>
          </cell>
        </row>
        <row r="2240">
          <cell r="P2240" t="str">
            <v>CONSTRUCCIÓN DE CALLE CON EMPEDRADO EN EL MUNICIPIO DE SAN FELIPE GTO., EN LA LOCALIDAD SANTA CATARINA, EN LA CALLE AV. JUÁREZ (SEGUNDA ETAPA)</v>
          </cell>
        </row>
        <row r="2241">
          <cell r="P2241" t="str">
            <v>REHABILITACIÓN DE ALUMBRADO PÚBLICO EN LA COLONIA AZTECA, CABECERA MUNICIPAL DE SAN FELIPE, GTO.</v>
          </cell>
        </row>
        <row r="2242">
          <cell r="P2242" t="str">
            <v>REHABILITACIÓN DE ALUMBRADO PÚBLICO EN LA COLONIA LOS ESPINOS, CABECERA MUNICIPAL DE SAN FELIPE, GTO.</v>
          </cell>
        </row>
        <row r="2243">
          <cell r="P2243" t="str">
            <v>REHABILITACIÓN DE ALUMBRADO PÚBLICO EN LA COLONIA TANQUE DEL PATO, CABECERA MUNICIPAL DE SAN FELIPE, GTO.</v>
          </cell>
        </row>
        <row r="2244">
          <cell r="P2244" t="str">
            <v>REHABILITACIÓN DE ALUMBRADO PÚBLICO EN LA LOCALIDAD JARAL DE BERRIOS, MUNICIPIO DE SAN FELIPE, GTO.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J454"/>
  <sheetViews>
    <sheetView tabSelected="1" zoomScale="65" zoomScaleNormal="65" workbookViewId="0">
      <pane xSplit="10" ySplit="10" topLeftCell="K59" activePane="bottomRight" state="frozen"/>
      <selection pane="topRight" activeCell="K1" sqref="K1"/>
      <selection pane="bottomLeft" activeCell="A9" sqref="A9"/>
      <selection pane="bottomRight" activeCell="F15" sqref="F15"/>
    </sheetView>
  </sheetViews>
  <sheetFormatPr baseColWidth="10" defaultRowHeight="15" x14ac:dyDescent="0.25"/>
  <cols>
    <col min="1" max="1" width="6.140625" style="2" customWidth="1"/>
    <col min="2" max="2" width="14.42578125" style="2"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1" width="22.140625" style="2" customWidth="1"/>
    <col min="12" max="12" width="15.7109375" style="2" customWidth="1"/>
    <col min="13" max="13" width="13.42578125" style="3" customWidth="1"/>
    <col min="14" max="15" width="11.42578125" style="2" customWidth="1"/>
    <col min="16" max="16" width="11.42578125" style="5" customWidth="1"/>
    <col min="17" max="18" width="11.42578125" style="2" customWidth="1"/>
    <col min="19" max="20" width="6.140625" style="2" customWidth="1"/>
    <col min="21" max="21" width="11.42578125" style="2" customWidth="1"/>
    <col min="22" max="22" width="11.42578125" style="5" customWidth="1"/>
    <col min="23" max="23" width="11.42578125" style="2" customWidth="1"/>
    <col min="24" max="25" width="16.42578125" style="2" customWidth="1"/>
    <col min="26" max="26" width="13.140625" style="2" customWidth="1"/>
    <col min="27" max="28" width="17.140625" style="2" customWidth="1"/>
    <col min="29" max="29" width="17.140625" style="3" customWidth="1"/>
    <col min="30" max="33" width="13.85546875" style="2" customWidth="1"/>
    <col min="34" max="34" width="17.140625" style="2" customWidth="1"/>
    <col min="35" max="58" width="11.42578125" style="2" customWidth="1"/>
    <col min="59" max="16384" width="11.42578125" style="2"/>
  </cols>
  <sheetData>
    <row r="1" spans="1:36" x14ac:dyDescent="0.25">
      <c r="AF1" s="11" t="s">
        <v>73</v>
      </c>
    </row>
    <row r="2" spans="1:36" x14ac:dyDescent="0.25">
      <c r="AB2" s="13" t="s">
        <v>37</v>
      </c>
      <c r="AC2" s="14">
        <f>COUNTIF(AC9:AC427,AB2)</f>
        <v>158</v>
      </c>
    </row>
    <row r="3" spans="1:36" x14ac:dyDescent="0.25">
      <c r="C3" s="86" t="s">
        <v>0</v>
      </c>
      <c r="D3" s="86"/>
      <c r="E3" s="86"/>
      <c r="F3" s="86"/>
      <c r="G3" s="86"/>
      <c r="H3" s="86"/>
      <c r="I3" s="86"/>
      <c r="L3" s="2" t="s">
        <v>23</v>
      </c>
      <c r="M3" s="4">
        <f>COUNTIF(M9:M452,L3)</f>
        <v>14</v>
      </c>
      <c r="N3" s="2" t="s">
        <v>331</v>
      </c>
      <c r="P3" s="4">
        <f>COUNTIF(P11:P453,N3)</f>
        <v>33</v>
      </c>
      <c r="Q3" s="2" t="s">
        <v>329</v>
      </c>
      <c r="R3" s="4">
        <f>COUNTIF($R$11:$R$453,Q3)</f>
        <v>40</v>
      </c>
      <c r="W3" s="2" t="s">
        <v>63</v>
      </c>
      <c r="X3" s="4">
        <f>COUNTIF(X9:X452,W3)</f>
        <v>0</v>
      </c>
      <c r="Y3" s="4"/>
      <c r="AB3" s="13" t="s">
        <v>31</v>
      </c>
      <c r="AC3" s="14">
        <f>COUNTIF(AC9:AC427,AB3)</f>
        <v>39</v>
      </c>
      <c r="AD3" s="11" t="s">
        <v>32</v>
      </c>
      <c r="AE3" s="11" t="s">
        <v>32</v>
      </c>
      <c r="AF3" s="11" t="s">
        <v>71</v>
      </c>
      <c r="AG3" s="45"/>
    </row>
    <row r="4" spans="1:36" x14ac:dyDescent="0.25">
      <c r="C4" s="86" t="s">
        <v>1</v>
      </c>
      <c r="D4" s="86"/>
      <c r="E4" s="86"/>
      <c r="F4" s="86"/>
      <c r="G4" s="86"/>
      <c r="H4" s="86"/>
      <c r="I4" s="86"/>
      <c r="L4" s="2" t="s">
        <v>24</v>
      </c>
      <c r="M4" s="4">
        <f>COUNTIF(M9:M452,L4)</f>
        <v>1</v>
      </c>
      <c r="N4" s="2" t="s">
        <v>330</v>
      </c>
      <c r="P4" s="4">
        <f>COUNTIF(P11:P453,N4)</f>
        <v>24</v>
      </c>
      <c r="Q4" s="2" t="s">
        <v>333</v>
      </c>
      <c r="R4" s="4">
        <f>COUNTIF($R$11:$R$453,Q4)</f>
        <v>44</v>
      </c>
      <c r="Z4" s="11" t="s">
        <v>34</v>
      </c>
      <c r="AA4" s="9">
        <f>COUNTIF(AB9:AB427,Z4)</f>
        <v>0</v>
      </c>
      <c r="AB4" s="13" t="s">
        <v>39</v>
      </c>
      <c r="AC4" s="14">
        <f>COUNTIF(AC9:AC427,AB4)</f>
        <v>19</v>
      </c>
      <c r="AD4" s="9">
        <f>COUNTIF(AD9:AD427,AD3)</f>
        <v>0</v>
      </c>
      <c r="AE4" s="9">
        <f>COUNTIF(AE9:AE427,AE3)</f>
        <v>0</v>
      </c>
      <c r="AF4" s="9">
        <f>COUNTIF(AF9:AF427,AF3)</f>
        <v>0</v>
      </c>
      <c r="AG4" s="9"/>
    </row>
    <row r="5" spans="1:36" x14ac:dyDescent="0.25">
      <c r="C5" s="86" t="s">
        <v>669</v>
      </c>
      <c r="D5" s="86"/>
      <c r="E5" s="86"/>
      <c r="F5" s="86"/>
      <c r="G5" s="86"/>
      <c r="H5" s="86"/>
      <c r="I5" s="86"/>
      <c r="L5" s="2" t="s">
        <v>25</v>
      </c>
      <c r="M5" s="4">
        <f>COUNTIF(M9:M452,L5)</f>
        <v>139</v>
      </c>
      <c r="Q5" s="2" t="s">
        <v>334</v>
      </c>
      <c r="R5" s="4">
        <f>SUBTOTAL(9,R3:R4)</f>
        <v>84</v>
      </c>
      <c r="Z5" s="11" t="s">
        <v>35</v>
      </c>
      <c r="AA5" s="9">
        <f>COUNTIF(AB9:AB427,Z5)</f>
        <v>236</v>
      </c>
      <c r="AB5" s="13" t="s">
        <v>36</v>
      </c>
      <c r="AC5" s="14">
        <f>COUNTIF(AC9:AC427,AB5)</f>
        <v>19</v>
      </c>
      <c r="AD5" s="11" t="s">
        <v>33</v>
      </c>
      <c r="AE5" s="11" t="s">
        <v>33</v>
      </c>
      <c r="AF5" s="11" t="s">
        <v>72</v>
      </c>
      <c r="AG5" s="45"/>
    </row>
    <row r="6" spans="1:36" x14ac:dyDescent="0.25">
      <c r="J6" s="10">
        <f>D428</f>
        <v>125184531.46000001</v>
      </c>
      <c r="K6" s="10"/>
      <c r="L6" s="2" t="s">
        <v>26</v>
      </c>
      <c r="M6" s="4">
        <f>COUNTIF(M9:M452,L6)</f>
        <v>91</v>
      </c>
      <c r="N6" s="5" t="s">
        <v>332</v>
      </c>
      <c r="O6" s="5"/>
      <c r="P6" s="5">
        <f>SUBTOTAL(9,P3:P5)</f>
        <v>57</v>
      </c>
      <c r="Q6" s="2" t="s">
        <v>68</v>
      </c>
      <c r="U6" s="9">
        <f>COUNTIF(U9:U451,N6)</f>
        <v>0</v>
      </c>
      <c r="V6" s="9">
        <f>COUNTIF(V9:V451,N6)</f>
        <v>1</v>
      </c>
      <c r="W6" s="9">
        <f>COUNTIF(W9:W451,N6)-3-2</f>
        <v>-5</v>
      </c>
      <c r="X6" s="9"/>
      <c r="Y6" s="9"/>
      <c r="AA6" s="9">
        <f>SUM(AA4:AA5)</f>
        <v>236</v>
      </c>
      <c r="AB6" s="13" t="s">
        <v>44</v>
      </c>
      <c r="AC6" s="14">
        <f>COUNTIF(AC9:AC427,AB6)</f>
        <v>1</v>
      </c>
      <c r="AD6" s="9">
        <f>COUNTIF(AD9:AD427,AD5)</f>
        <v>236</v>
      </c>
      <c r="AE6" s="9">
        <f>COUNTIF(AE9:AE427,AE5)</f>
        <v>236</v>
      </c>
      <c r="AF6" s="9">
        <f>COUNTIF(AF9:AF427,AF5)</f>
        <v>236</v>
      </c>
      <c r="AG6" s="9"/>
    </row>
    <row r="7" spans="1:36" x14ac:dyDescent="0.25">
      <c r="E7" s="92" t="s">
        <v>2</v>
      </c>
      <c r="F7" s="93"/>
      <c r="G7" s="94"/>
      <c r="H7" s="95">
        <v>129056218</v>
      </c>
      <c r="I7" s="96"/>
      <c r="J7" s="10">
        <f>D450</f>
        <v>3871686.54</v>
      </c>
      <c r="K7" s="10"/>
      <c r="L7" s="5">
        <f>COUNT(D433:D449)</f>
        <v>12</v>
      </c>
      <c r="M7" s="4">
        <f>SUBTOTAL(9,M3:M6)</f>
        <v>245</v>
      </c>
      <c r="S7" s="65" t="e">
        <f>MID(L7,AB7,AC7)</f>
        <v>#VALUE!</v>
      </c>
      <c r="U7" s="9"/>
      <c r="V7" s="9"/>
      <c r="W7" s="9">
        <f>W6-V6</f>
        <v>-6</v>
      </c>
      <c r="X7" s="9"/>
      <c r="Y7" s="9"/>
      <c r="AB7" s="16" t="s">
        <v>41</v>
      </c>
      <c r="AD7" s="9">
        <f>AD4+AD6</f>
        <v>236</v>
      </c>
      <c r="AE7" s="9">
        <f>AE4+AE6</f>
        <v>236</v>
      </c>
      <c r="AF7" s="9">
        <f>AF4+AF6+AF2</f>
        <v>236</v>
      </c>
      <c r="AG7" s="9"/>
    </row>
    <row r="8" spans="1:36" x14ac:dyDescent="0.25">
      <c r="J8" s="10">
        <f>J6+J7</f>
        <v>129056218.00000001</v>
      </c>
      <c r="K8" s="10"/>
      <c r="M8" s="4">
        <f>M7-L7</f>
        <v>233</v>
      </c>
      <c r="S8" s="2">
        <v>113</v>
      </c>
      <c r="T8" s="2">
        <v>39</v>
      </c>
      <c r="AA8" s="15">
        <f>AB8/AC8</f>
        <v>0.32627118644067798</v>
      </c>
      <c r="AB8" s="17">
        <f>AC5+AC4+AC3</f>
        <v>77</v>
      </c>
      <c r="AC8" s="14">
        <f>SUM(AC2:AC7)</f>
        <v>236</v>
      </c>
      <c r="AD8" s="15">
        <f>AD6/AD7</f>
        <v>1</v>
      </c>
      <c r="AE8" s="15">
        <f>AE6/AE7</f>
        <v>1</v>
      </c>
      <c r="AF8" s="15">
        <f>AF6/AF7</f>
        <v>1</v>
      </c>
      <c r="AG8" s="15"/>
    </row>
    <row r="9" spans="1:36" ht="20.25" customHeight="1" x14ac:dyDescent="0.25">
      <c r="A9" s="86" t="s">
        <v>13</v>
      </c>
      <c r="B9" s="87" t="s">
        <v>87</v>
      </c>
      <c r="C9" s="87" t="s">
        <v>3</v>
      </c>
      <c r="D9" s="89" t="s">
        <v>4</v>
      </c>
      <c r="E9" s="86" t="s">
        <v>10</v>
      </c>
      <c r="F9" s="86"/>
      <c r="G9" s="86"/>
      <c r="H9" s="86" t="s">
        <v>5</v>
      </c>
      <c r="I9" s="86" t="s">
        <v>6</v>
      </c>
      <c r="J9" s="10">
        <f>J8-H7</f>
        <v>0</v>
      </c>
      <c r="K9" s="10"/>
      <c r="L9" s="87" t="s">
        <v>19</v>
      </c>
      <c r="M9" s="87" t="s">
        <v>20</v>
      </c>
      <c r="X9" s="2" t="s">
        <v>66</v>
      </c>
      <c r="AA9" s="97" t="s">
        <v>4</v>
      </c>
      <c r="AB9" s="97" t="s">
        <v>29</v>
      </c>
      <c r="AC9" s="97" t="s">
        <v>30</v>
      </c>
      <c r="AD9" s="97" t="s">
        <v>67</v>
      </c>
      <c r="AE9" s="97" t="s">
        <v>69</v>
      </c>
      <c r="AF9" s="97" t="s">
        <v>70</v>
      </c>
      <c r="AG9" s="12"/>
      <c r="AH9" s="12"/>
    </row>
    <row r="10" spans="1:36" ht="25.5" customHeight="1" x14ac:dyDescent="0.25">
      <c r="A10" s="86"/>
      <c r="B10" s="87"/>
      <c r="C10" s="88"/>
      <c r="D10" s="90"/>
      <c r="E10" s="6" t="s">
        <v>7</v>
      </c>
      <c r="F10" s="6" t="s">
        <v>8</v>
      </c>
      <c r="G10" s="7" t="s">
        <v>9</v>
      </c>
      <c r="H10" s="91"/>
      <c r="I10" s="91"/>
      <c r="L10" s="88"/>
      <c r="M10" s="88"/>
      <c r="R10" s="2" t="s">
        <v>329</v>
      </c>
      <c r="X10" s="2" t="s">
        <v>65</v>
      </c>
      <c r="AA10" s="98"/>
      <c r="AB10" s="98"/>
      <c r="AC10" s="98"/>
      <c r="AD10" s="98"/>
      <c r="AE10" s="98"/>
      <c r="AF10" s="98"/>
      <c r="AG10" s="12"/>
      <c r="AH10" s="12"/>
    </row>
    <row r="11" spans="1:36" x14ac:dyDescent="0.25">
      <c r="A11" s="87" t="s">
        <v>327</v>
      </c>
      <c r="B11" s="86"/>
      <c r="C11" s="86"/>
      <c r="D11" s="86"/>
      <c r="E11" s="86"/>
      <c r="F11" s="86"/>
      <c r="G11" s="86"/>
      <c r="H11" s="86"/>
      <c r="I11" s="86"/>
      <c r="L11" s="8" t="s">
        <v>21</v>
      </c>
      <c r="M11" s="8" t="s">
        <v>21</v>
      </c>
      <c r="Q11" s="2" t="str">
        <f>IF(A11&lt;&gt;0,"Imprimir","")</f>
        <v>Imprimir</v>
      </c>
      <c r="V11" s="18"/>
      <c r="W11" s="19" t="str">
        <f>IF(L11="","","CAP")</f>
        <v>CAP</v>
      </c>
      <c r="X11" s="5"/>
      <c r="Y11" s="5"/>
    </row>
    <row r="12" spans="1:36" s="26" customFormat="1" ht="60" x14ac:dyDescent="0.25">
      <c r="A12" s="67">
        <v>1</v>
      </c>
      <c r="B12" s="82" t="s">
        <v>377</v>
      </c>
      <c r="C12" s="21" t="s">
        <v>394</v>
      </c>
      <c r="D12" s="22">
        <v>29724.999999999964</v>
      </c>
      <c r="E12" s="23" t="s">
        <v>11</v>
      </c>
      <c r="F12" s="23" t="s">
        <v>12</v>
      </c>
      <c r="G12" s="76" t="s">
        <v>352</v>
      </c>
      <c r="H12" s="81" t="s">
        <v>223</v>
      </c>
      <c r="I12" s="25">
        <v>2</v>
      </c>
      <c r="L12" s="27">
        <v>44623</v>
      </c>
      <c r="M12" s="28" t="s">
        <v>23</v>
      </c>
      <c r="P12" s="18" t="s">
        <v>331</v>
      </c>
      <c r="Q12" s="2" t="str">
        <f t="shared" ref="Q12:Q74" si="0">IF(C12&lt;&gt;0,"Imprimir","")</f>
        <v>Imprimir</v>
      </c>
      <c r="R12" s="2" t="s">
        <v>329</v>
      </c>
      <c r="S12" s="2"/>
      <c r="T12" s="64"/>
      <c r="U12" s="18" t="s">
        <v>15</v>
      </c>
      <c r="V12" s="18" t="s">
        <v>15</v>
      </c>
      <c r="W12" s="18" t="str">
        <f>IF(L12="","","CAP")</f>
        <v>CAP</v>
      </c>
      <c r="X12" s="18" t="str">
        <f>CONCATENATE($X$9,A12,$X$10,B12)</f>
        <v>. 1 - NC</v>
      </c>
      <c r="Y12" s="18"/>
      <c r="AA12" s="22">
        <v>1836.71</v>
      </c>
      <c r="AB12" s="29" t="str">
        <f>IF(D12&gt;0,IF(D12=AA12,"Sin Cambio","Cambió"),"")</f>
        <v>Cambió</v>
      </c>
      <c r="AC12" s="30" t="s">
        <v>31</v>
      </c>
      <c r="AD12" s="29" t="s">
        <v>33</v>
      </c>
      <c r="AE12" s="29" t="s">
        <v>33</v>
      </c>
      <c r="AF12" s="11" t="s">
        <v>72</v>
      </c>
      <c r="AG12" s="31"/>
      <c r="AH12" s="31"/>
      <c r="AJ12" s="26" t="s">
        <v>14</v>
      </c>
    </row>
    <row r="13" spans="1:36" s="26" customFormat="1" ht="60" x14ac:dyDescent="0.25">
      <c r="A13" s="67">
        <v>2</v>
      </c>
      <c r="B13" s="82" t="s">
        <v>377</v>
      </c>
      <c r="C13" s="21" t="s">
        <v>395</v>
      </c>
      <c r="D13" s="22">
        <v>36224.999999999964</v>
      </c>
      <c r="E13" s="23" t="s">
        <v>11</v>
      </c>
      <c r="F13" s="23" t="s">
        <v>12</v>
      </c>
      <c r="G13" s="66" t="s">
        <v>391</v>
      </c>
      <c r="H13" s="81" t="s">
        <v>223</v>
      </c>
      <c r="I13" s="25">
        <v>2</v>
      </c>
      <c r="L13" s="27">
        <v>44623</v>
      </c>
      <c r="M13" s="28" t="s">
        <v>23</v>
      </c>
      <c r="P13" s="18" t="s">
        <v>331</v>
      </c>
      <c r="Q13" s="2" t="str">
        <f t="shared" si="0"/>
        <v>Imprimir</v>
      </c>
      <c r="R13" s="2" t="s">
        <v>329</v>
      </c>
      <c r="S13" s="2"/>
      <c r="T13" s="64"/>
      <c r="U13" s="18" t="s">
        <v>15</v>
      </c>
      <c r="V13" s="18" t="s">
        <v>15</v>
      </c>
      <c r="W13" s="18" t="str">
        <f t="shared" ref="W13:W151" si="1">IF(L13="","","CAP")</f>
        <v>CAP</v>
      </c>
      <c r="X13" s="18" t="str">
        <f t="shared" ref="X13:X151" si="2">CONCATENATE($X$9,A13,$X$10,B13)</f>
        <v>. 2 - NC</v>
      </c>
      <c r="Y13" s="18"/>
      <c r="AA13" s="22">
        <v>5786.03</v>
      </c>
      <c r="AB13" s="29" t="str">
        <f t="shared" ref="AB13:AB151" si="3">IF(D13&gt;0,IF(D13=AA13,"Sin Cambio","Cambió"),"")</f>
        <v>Cambió</v>
      </c>
      <c r="AC13" s="30" t="s">
        <v>37</v>
      </c>
      <c r="AD13" s="29" t="s">
        <v>33</v>
      </c>
      <c r="AE13" s="29" t="s">
        <v>33</v>
      </c>
      <c r="AF13" s="11" t="s">
        <v>72</v>
      </c>
      <c r="AG13" s="31"/>
      <c r="AH13" s="31"/>
    </row>
    <row r="14" spans="1:36" s="26" customFormat="1" ht="50.25" customHeight="1" x14ac:dyDescent="0.25">
      <c r="A14" s="67">
        <v>3</v>
      </c>
      <c r="B14" s="82" t="s">
        <v>377</v>
      </c>
      <c r="C14" s="21" t="s">
        <v>396</v>
      </c>
      <c r="D14" s="22">
        <v>16249.999999999964</v>
      </c>
      <c r="E14" s="23" t="s">
        <v>11</v>
      </c>
      <c r="F14" s="23" t="s">
        <v>12</v>
      </c>
      <c r="G14" s="76" t="s">
        <v>42</v>
      </c>
      <c r="H14" s="81" t="s">
        <v>223</v>
      </c>
      <c r="I14" s="25">
        <v>2</v>
      </c>
      <c r="L14" s="27">
        <v>44623</v>
      </c>
      <c r="M14" s="28" t="s">
        <v>23</v>
      </c>
      <c r="P14" s="18" t="s">
        <v>331</v>
      </c>
      <c r="Q14" s="2" t="str">
        <f t="shared" si="0"/>
        <v>Imprimir</v>
      </c>
      <c r="R14" s="2" t="s">
        <v>329</v>
      </c>
      <c r="S14" s="2"/>
      <c r="T14" s="64"/>
      <c r="U14" s="18" t="s">
        <v>15</v>
      </c>
      <c r="V14" s="18" t="s">
        <v>15</v>
      </c>
      <c r="W14" s="18" t="str">
        <f t="shared" si="1"/>
        <v>CAP</v>
      </c>
      <c r="X14" s="18" t="str">
        <f t="shared" si="2"/>
        <v>. 3 - NC</v>
      </c>
      <c r="Y14" s="18"/>
      <c r="Z14" s="32">
        <f>D14/5</f>
        <v>3249.9999999999927</v>
      </c>
      <c r="AA14" s="22">
        <v>19623.349999999999</v>
      </c>
      <c r="AB14" s="29" t="str">
        <f t="shared" si="3"/>
        <v>Cambió</v>
      </c>
      <c r="AC14" s="30" t="s">
        <v>31</v>
      </c>
      <c r="AD14" s="29" t="s">
        <v>33</v>
      </c>
      <c r="AE14" s="29" t="s">
        <v>33</v>
      </c>
      <c r="AF14" s="11" t="s">
        <v>72</v>
      </c>
      <c r="AG14" s="31"/>
      <c r="AH14" s="31"/>
    </row>
    <row r="15" spans="1:36" s="26" customFormat="1" ht="60" x14ac:dyDescent="0.25">
      <c r="A15" s="67">
        <v>4</v>
      </c>
      <c r="B15" s="82" t="s">
        <v>377</v>
      </c>
      <c r="C15" s="21" t="s">
        <v>397</v>
      </c>
      <c r="D15" s="22">
        <v>14489.999999999964</v>
      </c>
      <c r="E15" s="23" t="s">
        <v>11</v>
      </c>
      <c r="F15" s="23" t="s">
        <v>12</v>
      </c>
      <c r="G15" s="66" t="s">
        <v>607</v>
      </c>
      <c r="H15" s="81" t="s">
        <v>223</v>
      </c>
      <c r="I15" s="25">
        <v>2</v>
      </c>
      <c r="L15" s="27">
        <v>44624</v>
      </c>
      <c r="M15" s="28" t="s">
        <v>23</v>
      </c>
      <c r="P15" s="18" t="s">
        <v>331</v>
      </c>
      <c r="Q15" s="2" t="str">
        <f t="shared" si="0"/>
        <v>Imprimir</v>
      </c>
      <c r="R15" s="2" t="s">
        <v>329</v>
      </c>
      <c r="S15" s="2"/>
      <c r="T15" s="64"/>
      <c r="U15" s="33" t="s">
        <v>15</v>
      </c>
      <c r="V15" s="18" t="s">
        <v>15</v>
      </c>
      <c r="W15" s="34" t="str">
        <f t="shared" si="1"/>
        <v>CAP</v>
      </c>
      <c r="X15" s="18" t="str">
        <f t="shared" si="2"/>
        <v>. 4 - NC</v>
      </c>
      <c r="Y15" s="18"/>
      <c r="Z15" s="35">
        <f>D15/6</f>
        <v>2414.9999999999941</v>
      </c>
      <c r="AA15" s="22">
        <v>22527.83</v>
      </c>
      <c r="AB15" s="29" t="str">
        <f t="shared" si="3"/>
        <v>Cambió</v>
      </c>
      <c r="AC15" s="30" t="s">
        <v>31</v>
      </c>
      <c r="AD15" s="29" t="s">
        <v>33</v>
      </c>
      <c r="AE15" s="29" t="s">
        <v>33</v>
      </c>
      <c r="AF15" s="11" t="s">
        <v>72</v>
      </c>
      <c r="AG15" s="31"/>
      <c r="AH15" s="31"/>
    </row>
    <row r="16" spans="1:36" s="26" customFormat="1" ht="60" x14ac:dyDescent="0.25">
      <c r="A16" s="67">
        <v>5</v>
      </c>
      <c r="B16" s="82" t="s">
        <v>377</v>
      </c>
      <c r="C16" s="21" t="s">
        <v>398</v>
      </c>
      <c r="D16" s="22">
        <v>14489.999999999964</v>
      </c>
      <c r="E16" s="23" t="s">
        <v>11</v>
      </c>
      <c r="F16" s="23" t="s">
        <v>12</v>
      </c>
      <c r="G16" s="66" t="s">
        <v>608</v>
      </c>
      <c r="H16" s="81" t="s">
        <v>223</v>
      </c>
      <c r="I16" s="25">
        <v>2</v>
      </c>
      <c r="L16" s="27">
        <v>44624</v>
      </c>
      <c r="M16" s="28" t="s">
        <v>23</v>
      </c>
      <c r="P16" s="18" t="s">
        <v>331</v>
      </c>
      <c r="Q16" s="2" t="str">
        <f t="shared" si="0"/>
        <v>Imprimir</v>
      </c>
      <c r="R16" s="2" t="s">
        <v>329</v>
      </c>
      <c r="S16" s="2"/>
      <c r="T16" s="64"/>
      <c r="U16" s="18" t="s">
        <v>15</v>
      </c>
      <c r="V16" s="18" t="s">
        <v>15</v>
      </c>
      <c r="W16" s="18" t="str">
        <f t="shared" si="1"/>
        <v>CAP</v>
      </c>
      <c r="X16" s="18" t="str">
        <f t="shared" si="2"/>
        <v>. 5 - NC</v>
      </c>
      <c r="Y16" s="18"/>
      <c r="AA16" s="22">
        <v>213408.37</v>
      </c>
      <c r="AB16" s="29" t="str">
        <f t="shared" si="3"/>
        <v>Cambió</v>
      </c>
      <c r="AC16" s="30" t="s">
        <v>31</v>
      </c>
      <c r="AD16" s="29" t="s">
        <v>33</v>
      </c>
      <c r="AE16" s="29" t="s">
        <v>33</v>
      </c>
      <c r="AF16" s="11" t="s">
        <v>72</v>
      </c>
      <c r="AG16" s="31"/>
      <c r="AH16" s="31"/>
    </row>
    <row r="17" spans="1:34" s="26" customFormat="1" ht="93.75" customHeight="1" x14ac:dyDescent="0.25">
      <c r="A17" s="67">
        <v>6</v>
      </c>
      <c r="B17" s="82" t="s">
        <v>377</v>
      </c>
      <c r="C17" s="21" t="s">
        <v>399</v>
      </c>
      <c r="D17" s="22">
        <v>21734.999999999964</v>
      </c>
      <c r="E17" s="23" t="s">
        <v>11</v>
      </c>
      <c r="F17" s="23" t="s">
        <v>12</v>
      </c>
      <c r="G17" s="66" t="s">
        <v>609</v>
      </c>
      <c r="H17" s="81" t="s">
        <v>223</v>
      </c>
      <c r="I17" s="25">
        <v>2</v>
      </c>
      <c r="L17" s="27">
        <v>44624</v>
      </c>
      <c r="M17" s="28" t="s">
        <v>23</v>
      </c>
      <c r="P17" s="18" t="s">
        <v>331</v>
      </c>
      <c r="Q17" s="2" t="str">
        <f t="shared" si="0"/>
        <v>Imprimir</v>
      </c>
      <c r="R17" s="2" t="s">
        <v>329</v>
      </c>
      <c r="S17" s="2"/>
      <c r="T17" s="64"/>
      <c r="U17" s="18" t="s">
        <v>15</v>
      </c>
      <c r="V17" s="18" t="s">
        <v>15</v>
      </c>
      <c r="W17" s="18" t="str">
        <f t="shared" si="1"/>
        <v>CAP</v>
      </c>
      <c r="X17" s="18" t="str">
        <f t="shared" si="2"/>
        <v>. 6 - NC</v>
      </c>
      <c r="Y17" s="18"/>
      <c r="AA17" s="22">
        <v>16794.53</v>
      </c>
      <c r="AB17" s="29" t="str">
        <f t="shared" si="3"/>
        <v>Cambió</v>
      </c>
      <c r="AC17" s="30" t="s">
        <v>36</v>
      </c>
      <c r="AD17" s="29" t="s">
        <v>33</v>
      </c>
      <c r="AE17" s="29" t="s">
        <v>33</v>
      </c>
      <c r="AF17" s="11" t="s">
        <v>72</v>
      </c>
      <c r="AG17" s="31"/>
      <c r="AH17" s="31"/>
    </row>
    <row r="18" spans="1:34" s="26" customFormat="1" ht="105" customHeight="1" x14ac:dyDescent="0.25">
      <c r="A18" s="67">
        <v>7</v>
      </c>
      <c r="B18" s="82" t="s">
        <v>377</v>
      </c>
      <c r="C18" s="21" t="s">
        <v>400</v>
      </c>
      <c r="D18" s="22">
        <v>16249.999999999964</v>
      </c>
      <c r="E18" s="23" t="s">
        <v>11</v>
      </c>
      <c r="F18" s="23" t="s">
        <v>12</v>
      </c>
      <c r="G18" s="66" t="s">
        <v>610</v>
      </c>
      <c r="H18" s="81" t="s">
        <v>223</v>
      </c>
      <c r="I18" s="25">
        <v>2</v>
      </c>
      <c r="L18" s="27">
        <v>44624</v>
      </c>
      <c r="M18" s="28" t="s">
        <v>23</v>
      </c>
      <c r="P18" s="18" t="s">
        <v>331</v>
      </c>
      <c r="Q18" s="2" t="str">
        <f t="shared" si="0"/>
        <v>Imprimir</v>
      </c>
      <c r="R18" s="2" t="s">
        <v>329</v>
      </c>
      <c r="S18" s="2"/>
      <c r="T18" s="64"/>
      <c r="U18" s="18" t="s">
        <v>15</v>
      </c>
      <c r="V18" s="18" t="s">
        <v>15</v>
      </c>
      <c r="W18" s="18" t="str">
        <f t="shared" si="1"/>
        <v>CAP</v>
      </c>
      <c r="X18" s="18" t="str">
        <f t="shared" si="2"/>
        <v>. 7 - NC</v>
      </c>
      <c r="Y18" s="18"/>
      <c r="AA18" s="22">
        <v>99282.8</v>
      </c>
      <c r="AB18" s="29" t="str">
        <f t="shared" si="3"/>
        <v>Cambió</v>
      </c>
      <c r="AC18" s="30" t="s">
        <v>36</v>
      </c>
      <c r="AD18" s="29" t="s">
        <v>33</v>
      </c>
      <c r="AE18" s="29" t="s">
        <v>33</v>
      </c>
      <c r="AF18" s="11" t="s">
        <v>72</v>
      </c>
      <c r="AG18" s="31"/>
      <c r="AH18" s="31"/>
    </row>
    <row r="19" spans="1:34" s="26" customFormat="1" ht="81.75" customHeight="1" x14ac:dyDescent="0.25">
      <c r="A19" s="67">
        <v>8</v>
      </c>
      <c r="B19" s="82" t="s">
        <v>377</v>
      </c>
      <c r="C19" s="21" t="s">
        <v>401</v>
      </c>
      <c r="D19" s="22">
        <v>14489.999999999964</v>
      </c>
      <c r="E19" s="23" t="s">
        <v>11</v>
      </c>
      <c r="F19" s="23" t="s">
        <v>12</v>
      </c>
      <c r="G19" s="66" t="s">
        <v>611</v>
      </c>
      <c r="H19" s="81" t="s">
        <v>223</v>
      </c>
      <c r="I19" s="25">
        <v>2</v>
      </c>
      <c r="L19" s="27">
        <v>44624</v>
      </c>
      <c r="M19" s="28" t="s">
        <v>23</v>
      </c>
      <c r="P19" s="18" t="s">
        <v>331</v>
      </c>
      <c r="Q19" s="2" t="str">
        <f t="shared" si="0"/>
        <v>Imprimir</v>
      </c>
      <c r="R19" s="2" t="s">
        <v>329</v>
      </c>
      <c r="S19" s="2"/>
      <c r="T19" s="64"/>
      <c r="U19" s="18" t="s">
        <v>15</v>
      </c>
      <c r="V19" s="18" t="s">
        <v>15</v>
      </c>
      <c r="W19" s="18" t="str">
        <f t="shared" si="1"/>
        <v>CAP</v>
      </c>
      <c r="X19" s="18" t="str">
        <f t="shared" si="2"/>
        <v>. 8 - NC</v>
      </c>
      <c r="Y19" s="18"/>
      <c r="AA19" s="22">
        <v>44306.69</v>
      </c>
      <c r="AB19" s="29" t="str">
        <f t="shared" si="3"/>
        <v>Cambió</v>
      </c>
      <c r="AC19" s="30" t="s">
        <v>31</v>
      </c>
      <c r="AD19" s="29" t="s">
        <v>33</v>
      </c>
      <c r="AE19" s="29" t="s">
        <v>33</v>
      </c>
      <c r="AF19" s="11" t="s">
        <v>72</v>
      </c>
      <c r="AG19" s="31"/>
      <c r="AH19" s="31"/>
    </row>
    <row r="20" spans="1:34" s="26" customFormat="1" ht="75" customHeight="1" x14ac:dyDescent="0.25">
      <c r="A20" s="67">
        <v>9</v>
      </c>
      <c r="B20" s="82" t="s">
        <v>377</v>
      </c>
      <c r="C20" s="21" t="s">
        <v>402</v>
      </c>
      <c r="D20" s="22">
        <v>14489.999999999964</v>
      </c>
      <c r="E20" s="23" t="s">
        <v>11</v>
      </c>
      <c r="F20" s="23" t="s">
        <v>12</v>
      </c>
      <c r="G20" s="76" t="s">
        <v>612</v>
      </c>
      <c r="H20" s="81" t="s">
        <v>223</v>
      </c>
      <c r="I20" s="25">
        <v>2</v>
      </c>
      <c r="L20" s="27">
        <v>44624</v>
      </c>
      <c r="M20" s="28" t="s">
        <v>23</v>
      </c>
      <c r="P20" s="18" t="s">
        <v>331</v>
      </c>
      <c r="Q20" s="2" t="str">
        <f t="shared" si="0"/>
        <v>Imprimir</v>
      </c>
      <c r="R20" s="2" t="s">
        <v>329</v>
      </c>
      <c r="S20" s="2"/>
      <c r="T20" s="64"/>
      <c r="U20" s="18" t="s">
        <v>15</v>
      </c>
      <c r="V20" s="18" t="s">
        <v>15</v>
      </c>
      <c r="W20" s="18" t="str">
        <f t="shared" si="1"/>
        <v>CAP</v>
      </c>
      <c r="X20" s="18" t="str">
        <f t="shared" si="2"/>
        <v>. 9 - NC</v>
      </c>
      <c r="Y20" s="18"/>
      <c r="AA20" s="22">
        <v>196630.26</v>
      </c>
      <c r="AB20" s="29" t="str">
        <f t="shared" si="3"/>
        <v>Cambió</v>
      </c>
      <c r="AC20" s="30" t="s">
        <v>36</v>
      </c>
      <c r="AD20" s="29" t="s">
        <v>33</v>
      </c>
      <c r="AE20" s="29" t="s">
        <v>33</v>
      </c>
      <c r="AF20" s="11" t="s">
        <v>72</v>
      </c>
      <c r="AG20" s="31"/>
      <c r="AH20" s="31"/>
    </row>
    <row r="21" spans="1:34" s="26" customFormat="1" ht="45" x14ac:dyDescent="0.25">
      <c r="A21" s="67">
        <v>10</v>
      </c>
      <c r="B21" s="82" t="s">
        <v>377</v>
      </c>
      <c r="C21" s="21" t="s">
        <v>403</v>
      </c>
      <c r="D21" s="22">
        <v>16249.999999999964</v>
      </c>
      <c r="E21" s="23" t="s">
        <v>11</v>
      </c>
      <c r="F21" s="23" t="s">
        <v>12</v>
      </c>
      <c r="G21" s="76" t="s">
        <v>613</v>
      </c>
      <c r="H21" s="81" t="s">
        <v>223</v>
      </c>
      <c r="I21" s="25">
        <v>2</v>
      </c>
      <c r="L21" s="27">
        <v>44624</v>
      </c>
      <c r="M21" s="28" t="s">
        <v>23</v>
      </c>
      <c r="P21" s="18" t="s">
        <v>331</v>
      </c>
      <c r="Q21" s="2" t="str">
        <f t="shared" si="0"/>
        <v>Imprimir</v>
      </c>
      <c r="R21" s="2" t="s">
        <v>329</v>
      </c>
      <c r="S21" s="2"/>
      <c r="T21" s="64"/>
      <c r="U21" s="18" t="s">
        <v>15</v>
      </c>
      <c r="V21" s="18" t="s">
        <v>15</v>
      </c>
      <c r="W21" s="18" t="str">
        <f t="shared" si="1"/>
        <v>CAP</v>
      </c>
      <c r="X21" s="18" t="str">
        <f t="shared" si="2"/>
        <v>. 10 - NC</v>
      </c>
      <c r="Y21" s="18"/>
      <c r="AA21" s="22">
        <v>225917.51</v>
      </c>
      <c r="AB21" s="29" t="str">
        <f t="shared" si="3"/>
        <v>Cambió</v>
      </c>
      <c r="AC21" s="30" t="s">
        <v>31</v>
      </c>
      <c r="AD21" s="29" t="s">
        <v>33</v>
      </c>
      <c r="AE21" s="29" t="s">
        <v>33</v>
      </c>
      <c r="AF21" s="11" t="s">
        <v>72</v>
      </c>
      <c r="AG21" s="31"/>
      <c r="AH21" s="31"/>
    </row>
    <row r="22" spans="1:34" s="26" customFormat="1" ht="78.75" customHeight="1" x14ac:dyDescent="0.25">
      <c r="A22" s="67">
        <v>11</v>
      </c>
      <c r="B22" s="82" t="s">
        <v>377</v>
      </c>
      <c r="C22" s="21" t="s">
        <v>404</v>
      </c>
      <c r="D22" s="22">
        <v>14489.999999999964</v>
      </c>
      <c r="E22" s="23" t="s">
        <v>11</v>
      </c>
      <c r="F22" s="23" t="s">
        <v>12</v>
      </c>
      <c r="G22" s="76" t="s">
        <v>339</v>
      </c>
      <c r="H22" s="81" t="s">
        <v>223</v>
      </c>
      <c r="I22" s="25">
        <v>2</v>
      </c>
      <c r="L22" s="27">
        <v>44624</v>
      </c>
      <c r="M22" s="28" t="s">
        <v>23</v>
      </c>
      <c r="P22" s="18" t="s">
        <v>331</v>
      </c>
      <c r="Q22" s="2" t="str">
        <f t="shared" si="0"/>
        <v>Imprimir</v>
      </c>
      <c r="R22" s="2" t="s">
        <v>329</v>
      </c>
      <c r="S22" s="2"/>
      <c r="T22" s="64"/>
      <c r="U22" s="18" t="s">
        <v>15</v>
      </c>
      <c r="V22" s="18" t="s">
        <v>15</v>
      </c>
      <c r="W22" s="36" t="str">
        <f t="shared" si="1"/>
        <v>CAP</v>
      </c>
      <c r="X22" s="18" t="str">
        <f t="shared" si="2"/>
        <v>. 11 - NC</v>
      </c>
      <c r="Y22" s="18"/>
      <c r="AA22" s="22">
        <v>116994.09</v>
      </c>
      <c r="AB22" s="29" t="str">
        <f t="shared" si="3"/>
        <v>Cambió</v>
      </c>
      <c r="AC22" s="30" t="s">
        <v>31</v>
      </c>
      <c r="AD22" s="29" t="s">
        <v>33</v>
      </c>
      <c r="AE22" s="29" t="s">
        <v>33</v>
      </c>
      <c r="AF22" s="11" t="s">
        <v>72</v>
      </c>
      <c r="AG22" s="31"/>
      <c r="AH22" s="31"/>
    </row>
    <row r="23" spans="1:34" s="26" customFormat="1" ht="60" x14ac:dyDescent="0.25">
      <c r="A23" s="67">
        <v>12</v>
      </c>
      <c r="B23" s="82" t="s">
        <v>377</v>
      </c>
      <c r="C23" s="21" t="s">
        <v>405</v>
      </c>
      <c r="D23" s="22">
        <v>14489.999999999964</v>
      </c>
      <c r="E23" s="23" t="s">
        <v>11</v>
      </c>
      <c r="F23" s="23" t="s">
        <v>12</v>
      </c>
      <c r="G23" s="76" t="s">
        <v>374</v>
      </c>
      <c r="H23" s="81" t="s">
        <v>223</v>
      </c>
      <c r="I23" s="25">
        <v>2</v>
      </c>
      <c r="L23" s="27">
        <v>44624</v>
      </c>
      <c r="M23" s="28" t="s">
        <v>23</v>
      </c>
      <c r="P23" s="18" t="s">
        <v>331</v>
      </c>
      <c r="Q23" s="2" t="str">
        <f t="shared" si="0"/>
        <v>Imprimir</v>
      </c>
      <c r="R23" s="2" t="s">
        <v>329</v>
      </c>
      <c r="S23" s="2"/>
      <c r="T23" s="64"/>
      <c r="U23" s="18" t="s">
        <v>15</v>
      </c>
      <c r="V23" s="18" t="s">
        <v>15</v>
      </c>
      <c r="W23" s="18" t="str">
        <f t="shared" si="1"/>
        <v>CAP</v>
      </c>
      <c r="X23" s="18" t="str">
        <f t="shared" si="2"/>
        <v>. 12 - NC</v>
      </c>
      <c r="Y23" s="18"/>
      <c r="AA23" s="22">
        <v>27024.79</v>
      </c>
      <c r="AB23" s="29" t="str">
        <f t="shared" si="3"/>
        <v>Cambió</v>
      </c>
      <c r="AC23" s="30" t="s">
        <v>31</v>
      </c>
      <c r="AD23" s="29" t="s">
        <v>33</v>
      </c>
      <c r="AE23" s="29" t="s">
        <v>33</v>
      </c>
      <c r="AF23" s="11" t="s">
        <v>72</v>
      </c>
      <c r="AG23" s="31"/>
      <c r="AH23" s="31"/>
    </row>
    <row r="24" spans="1:34" s="26" customFormat="1" ht="60" x14ac:dyDescent="0.25">
      <c r="A24" s="67">
        <v>13</v>
      </c>
      <c r="B24" s="82" t="s">
        <v>377</v>
      </c>
      <c r="C24" s="21" t="s">
        <v>400</v>
      </c>
      <c r="D24" s="22">
        <v>14489.999999999964</v>
      </c>
      <c r="E24" s="23" t="s">
        <v>11</v>
      </c>
      <c r="F24" s="23" t="s">
        <v>12</v>
      </c>
      <c r="G24" s="76" t="s">
        <v>610</v>
      </c>
      <c r="H24" s="81" t="s">
        <v>223</v>
      </c>
      <c r="I24" s="25">
        <v>2</v>
      </c>
      <c r="L24" s="27">
        <v>44624</v>
      </c>
      <c r="M24" s="28" t="s">
        <v>23</v>
      </c>
      <c r="P24" s="18" t="s">
        <v>331</v>
      </c>
      <c r="Q24" s="2" t="str">
        <f t="shared" si="0"/>
        <v>Imprimir</v>
      </c>
      <c r="R24" s="2" t="s">
        <v>329</v>
      </c>
      <c r="S24" s="2"/>
      <c r="T24" s="64"/>
      <c r="U24" s="18" t="s">
        <v>15</v>
      </c>
      <c r="V24" s="18" t="s">
        <v>15</v>
      </c>
      <c r="W24" s="18" t="str">
        <f t="shared" si="1"/>
        <v>CAP</v>
      </c>
      <c r="X24" s="18" t="str">
        <f t="shared" si="2"/>
        <v>. 13 - NC</v>
      </c>
      <c r="Y24" s="18"/>
      <c r="AA24" s="22">
        <v>48315.07</v>
      </c>
      <c r="AB24" s="29" t="str">
        <f t="shared" si="3"/>
        <v>Cambió</v>
      </c>
      <c r="AC24" s="30" t="s">
        <v>36</v>
      </c>
      <c r="AD24" s="29" t="s">
        <v>33</v>
      </c>
      <c r="AE24" s="29" t="s">
        <v>33</v>
      </c>
      <c r="AF24" s="11" t="s">
        <v>72</v>
      </c>
      <c r="AG24" s="31"/>
      <c r="AH24" s="31"/>
    </row>
    <row r="25" spans="1:34" s="26" customFormat="1" ht="45" x14ac:dyDescent="0.25">
      <c r="A25" s="67">
        <v>14</v>
      </c>
      <c r="B25" s="82" t="s">
        <v>377</v>
      </c>
      <c r="C25" s="21" t="s">
        <v>406</v>
      </c>
      <c r="D25" s="22">
        <v>21734.999999999964</v>
      </c>
      <c r="E25" s="23" t="s">
        <v>11</v>
      </c>
      <c r="F25" s="23" t="s">
        <v>12</v>
      </c>
      <c r="G25" s="76" t="s">
        <v>342</v>
      </c>
      <c r="H25" s="81" t="s">
        <v>223</v>
      </c>
      <c r="I25" s="25">
        <v>2</v>
      </c>
      <c r="L25" s="27">
        <v>44624</v>
      </c>
      <c r="M25" s="28" t="s">
        <v>23</v>
      </c>
      <c r="P25" s="18" t="s">
        <v>331</v>
      </c>
      <c r="Q25" s="2" t="str">
        <f t="shared" si="0"/>
        <v>Imprimir</v>
      </c>
      <c r="R25" s="2" t="s">
        <v>329</v>
      </c>
      <c r="S25" s="2"/>
      <c r="T25" s="64"/>
      <c r="U25" s="18" t="s">
        <v>15</v>
      </c>
      <c r="V25" s="18" t="s">
        <v>15</v>
      </c>
      <c r="W25" s="18" t="str">
        <f t="shared" si="1"/>
        <v>CAP</v>
      </c>
      <c r="X25" s="18" t="str">
        <f t="shared" si="2"/>
        <v>. 14 - NC</v>
      </c>
      <c r="Y25" s="18"/>
      <c r="AA25" s="22">
        <v>98805.04</v>
      </c>
      <c r="AB25" s="29" t="str">
        <f t="shared" si="3"/>
        <v>Cambió</v>
      </c>
      <c r="AC25" s="30" t="s">
        <v>36</v>
      </c>
      <c r="AD25" s="29" t="s">
        <v>33</v>
      </c>
      <c r="AE25" s="29" t="s">
        <v>33</v>
      </c>
      <c r="AF25" s="11" t="s">
        <v>72</v>
      </c>
      <c r="AG25" s="31"/>
      <c r="AH25" s="31"/>
    </row>
    <row r="26" spans="1:34" s="26" customFormat="1" ht="88.5" customHeight="1" x14ac:dyDescent="0.25">
      <c r="A26" s="67">
        <v>15</v>
      </c>
      <c r="B26" s="82" t="s">
        <v>377</v>
      </c>
      <c r="C26" s="21" t="s">
        <v>407</v>
      </c>
      <c r="D26" s="22">
        <v>14489.999999999964</v>
      </c>
      <c r="E26" s="23" t="s">
        <v>11</v>
      </c>
      <c r="F26" s="23" t="s">
        <v>12</v>
      </c>
      <c r="G26" s="76" t="s">
        <v>614</v>
      </c>
      <c r="H26" s="81" t="s">
        <v>223</v>
      </c>
      <c r="I26" s="25">
        <v>2</v>
      </c>
      <c r="L26" s="27">
        <v>44684</v>
      </c>
      <c r="M26" s="28" t="s">
        <v>24</v>
      </c>
      <c r="P26" s="18" t="s">
        <v>331</v>
      </c>
      <c r="Q26" s="2" t="str">
        <f t="shared" si="0"/>
        <v>Imprimir</v>
      </c>
      <c r="R26" s="2" t="s">
        <v>329</v>
      </c>
      <c r="S26" s="2"/>
      <c r="T26" s="64"/>
      <c r="U26" s="18" t="s">
        <v>15</v>
      </c>
      <c r="V26" s="18" t="s">
        <v>15</v>
      </c>
      <c r="W26" s="18" t="str">
        <f t="shared" si="1"/>
        <v>CAP</v>
      </c>
      <c r="X26" s="18" t="str">
        <f t="shared" si="2"/>
        <v>. 15 - NC</v>
      </c>
      <c r="Y26" s="18"/>
      <c r="AA26" s="22">
        <v>2199662.0099999998</v>
      </c>
      <c r="AB26" s="29" t="str">
        <f t="shared" si="3"/>
        <v>Cambió</v>
      </c>
      <c r="AC26" s="30" t="s">
        <v>31</v>
      </c>
      <c r="AD26" s="29" t="s">
        <v>33</v>
      </c>
      <c r="AE26" s="29" t="s">
        <v>33</v>
      </c>
      <c r="AF26" s="11" t="s">
        <v>72</v>
      </c>
      <c r="AG26" s="31"/>
      <c r="AH26" s="31"/>
    </row>
    <row r="27" spans="1:34" s="26" customFormat="1" ht="79.5" customHeight="1" x14ac:dyDescent="0.25">
      <c r="A27" s="67">
        <v>16</v>
      </c>
      <c r="B27" s="82" t="s">
        <v>377</v>
      </c>
      <c r="C27" s="21" t="s">
        <v>408</v>
      </c>
      <c r="D27" s="22">
        <v>21734.999999999964</v>
      </c>
      <c r="E27" s="23" t="str">
        <f>IF(D27&gt;0,"GUANAJUATO","")</f>
        <v>GUANAJUATO</v>
      </c>
      <c r="F27" s="23" t="str">
        <f>IF(D27&gt;0,"SAN FELIPE","")</f>
        <v>SAN FELIPE</v>
      </c>
      <c r="G27" s="76" t="s">
        <v>615</v>
      </c>
      <c r="H27" s="81" t="s">
        <v>223</v>
      </c>
      <c r="I27" s="25">
        <v>2</v>
      </c>
      <c r="L27" s="27">
        <v>44747</v>
      </c>
      <c r="M27" s="28" t="s">
        <v>25</v>
      </c>
      <c r="P27" s="18" t="s">
        <v>331</v>
      </c>
      <c r="Q27" s="2" t="str">
        <f t="shared" si="0"/>
        <v>Imprimir</v>
      </c>
      <c r="R27" s="2" t="s">
        <v>329</v>
      </c>
      <c r="S27" s="2"/>
      <c r="T27" s="64"/>
      <c r="U27" s="18" t="s">
        <v>15</v>
      </c>
      <c r="V27" s="18" t="s">
        <v>15</v>
      </c>
      <c r="W27" s="18" t="str">
        <f t="shared" si="1"/>
        <v>CAP</v>
      </c>
      <c r="X27" s="18" t="str">
        <f t="shared" si="2"/>
        <v>. 16 - NC</v>
      </c>
      <c r="Y27" s="18"/>
      <c r="AA27" s="22">
        <v>0</v>
      </c>
      <c r="AB27" s="29" t="str">
        <f t="shared" si="3"/>
        <v>Cambió</v>
      </c>
      <c r="AC27" s="30" t="s">
        <v>31</v>
      </c>
      <c r="AD27" s="29" t="s">
        <v>33</v>
      </c>
      <c r="AE27" s="29" t="s">
        <v>33</v>
      </c>
      <c r="AF27" s="11" t="s">
        <v>72</v>
      </c>
      <c r="AG27" s="31"/>
      <c r="AH27" s="31"/>
    </row>
    <row r="28" spans="1:34" s="26" customFormat="1" ht="72.75" customHeight="1" x14ac:dyDescent="0.25">
      <c r="A28" s="67">
        <v>17</v>
      </c>
      <c r="B28" s="82" t="s">
        <v>377</v>
      </c>
      <c r="C28" s="21" t="s">
        <v>409</v>
      </c>
      <c r="D28" s="22">
        <v>16249.999999999964</v>
      </c>
      <c r="E28" s="23" t="str">
        <f t="shared" ref="E28:E165" si="4">IF(D28&gt;0,"GUANAJUATO","")</f>
        <v>GUANAJUATO</v>
      </c>
      <c r="F28" s="23" t="str">
        <f t="shared" ref="F28:F165" si="5">IF(D28&gt;0,"SAN FELIPE","")</f>
        <v>SAN FELIPE</v>
      </c>
      <c r="G28" s="76" t="s">
        <v>219</v>
      </c>
      <c r="H28" s="81" t="s">
        <v>223</v>
      </c>
      <c r="I28" s="25">
        <v>2</v>
      </c>
      <c r="L28" s="27">
        <v>44749</v>
      </c>
      <c r="M28" s="28" t="s">
        <v>25</v>
      </c>
      <c r="P28" s="18" t="s">
        <v>331</v>
      </c>
      <c r="Q28" s="2" t="str">
        <f t="shared" si="0"/>
        <v>Imprimir</v>
      </c>
      <c r="R28" s="2" t="s">
        <v>329</v>
      </c>
      <c r="S28" s="2"/>
      <c r="T28" s="64"/>
      <c r="U28" s="18" t="s">
        <v>15</v>
      </c>
      <c r="V28" s="18" t="s">
        <v>15</v>
      </c>
      <c r="W28" s="18" t="str">
        <f t="shared" si="1"/>
        <v>CAP</v>
      </c>
      <c r="X28" s="18" t="str">
        <f t="shared" si="2"/>
        <v>. 17 - NC</v>
      </c>
      <c r="Y28" s="18"/>
      <c r="AA28" s="22">
        <v>0</v>
      </c>
      <c r="AB28" s="29" t="str">
        <f t="shared" si="3"/>
        <v>Cambió</v>
      </c>
      <c r="AC28" s="30" t="s">
        <v>31</v>
      </c>
      <c r="AD28" s="29" t="s">
        <v>33</v>
      </c>
      <c r="AE28" s="29" t="s">
        <v>33</v>
      </c>
      <c r="AF28" s="11" t="s">
        <v>72</v>
      </c>
      <c r="AG28" s="31"/>
      <c r="AH28" s="31"/>
    </row>
    <row r="29" spans="1:34" s="26" customFormat="1" ht="90" customHeight="1" x14ac:dyDescent="0.25">
      <c r="A29" s="67">
        <v>18</v>
      </c>
      <c r="B29" s="82" t="s">
        <v>377</v>
      </c>
      <c r="C29" s="21" t="s">
        <v>410</v>
      </c>
      <c r="D29" s="22">
        <v>14489.999999999964</v>
      </c>
      <c r="E29" s="23" t="str">
        <f t="shared" si="4"/>
        <v>GUANAJUATO</v>
      </c>
      <c r="F29" s="23" t="str">
        <f t="shared" si="5"/>
        <v>SAN FELIPE</v>
      </c>
      <c r="G29" s="76" t="s">
        <v>609</v>
      </c>
      <c r="H29" s="81" t="s">
        <v>223</v>
      </c>
      <c r="I29" s="25">
        <v>2</v>
      </c>
      <c r="L29" s="27">
        <v>44749</v>
      </c>
      <c r="M29" s="28" t="s">
        <v>25</v>
      </c>
      <c r="P29" s="18" t="s">
        <v>331</v>
      </c>
      <c r="Q29" s="2" t="str">
        <f t="shared" si="0"/>
        <v>Imprimir</v>
      </c>
      <c r="R29" s="2" t="s">
        <v>329</v>
      </c>
      <c r="S29" s="2"/>
      <c r="T29" s="64"/>
      <c r="U29" s="18" t="s">
        <v>15</v>
      </c>
      <c r="V29" s="18" t="s">
        <v>15</v>
      </c>
      <c r="W29" s="18" t="str">
        <f t="shared" si="1"/>
        <v>CAP</v>
      </c>
      <c r="X29" s="18" t="str">
        <f t="shared" si="2"/>
        <v>. 18 - NC</v>
      </c>
      <c r="Y29" s="18"/>
      <c r="AA29" s="22">
        <v>0</v>
      </c>
      <c r="AB29" s="29" t="str">
        <f t="shared" si="3"/>
        <v>Cambió</v>
      </c>
      <c r="AC29" s="30" t="s">
        <v>39</v>
      </c>
      <c r="AD29" s="29" t="s">
        <v>33</v>
      </c>
      <c r="AE29" s="29" t="s">
        <v>33</v>
      </c>
      <c r="AF29" s="11" t="s">
        <v>72</v>
      </c>
      <c r="AG29" s="31"/>
      <c r="AH29" s="31"/>
    </row>
    <row r="30" spans="1:34" s="26" customFormat="1" ht="60" x14ac:dyDescent="0.25">
      <c r="A30" s="67">
        <v>19</v>
      </c>
      <c r="B30" s="82" t="s">
        <v>377</v>
      </c>
      <c r="C30" s="21" t="s">
        <v>411</v>
      </c>
      <c r="D30" s="22">
        <v>16249.999999999964</v>
      </c>
      <c r="E30" s="23" t="str">
        <f t="shared" si="4"/>
        <v>GUANAJUATO</v>
      </c>
      <c r="F30" s="23" t="str">
        <f t="shared" si="5"/>
        <v>SAN FELIPE</v>
      </c>
      <c r="G30" s="76" t="s">
        <v>335</v>
      </c>
      <c r="H30" s="81" t="s">
        <v>223</v>
      </c>
      <c r="I30" s="25">
        <v>2</v>
      </c>
      <c r="L30" s="27">
        <v>44749</v>
      </c>
      <c r="M30" s="28" t="s">
        <v>25</v>
      </c>
      <c r="P30" s="18" t="s">
        <v>331</v>
      </c>
      <c r="Q30" s="2" t="str">
        <f t="shared" si="0"/>
        <v>Imprimir</v>
      </c>
      <c r="R30" s="2" t="s">
        <v>329</v>
      </c>
      <c r="S30" s="2"/>
      <c r="T30" s="64"/>
      <c r="U30" s="18" t="s">
        <v>15</v>
      </c>
      <c r="V30" s="18" t="s">
        <v>15</v>
      </c>
      <c r="W30" s="18" t="str">
        <f t="shared" si="1"/>
        <v>CAP</v>
      </c>
      <c r="X30" s="18" t="str">
        <f t="shared" si="2"/>
        <v>. 19 - NC</v>
      </c>
      <c r="Y30" s="18"/>
      <c r="AA30" s="22">
        <v>0</v>
      </c>
      <c r="AB30" s="29" t="str">
        <f t="shared" si="3"/>
        <v>Cambió</v>
      </c>
      <c r="AC30" s="30" t="s">
        <v>31</v>
      </c>
      <c r="AD30" s="29" t="s">
        <v>33</v>
      </c>
      <c r="AE30" s="29" t="s">
        <v>33</v>
      </c>
      <c r="AF30" s="11" t="s">
        <v>72</v>
      </c>
      <c r="AG30" s="31"/>
      <c r="AH30" s="31"/>
    </row>
    <row r="31" spans="1:34" s="26" customFormat="1" ht="45" x14ac:dyDescent="0.25">
      <c r="A31" s="67">
        <v>20</v>
      </c>
      <c r="B31" s="82" t="s">
        <v>377</v>
      </c>
      <c r="C31" s="21" t="s">
        <v>412</v>
      </c>
      <c r="D31" s="22">
        <v>32499.999999999964</v>
      </c>
      <c r="E31" s="23" t="str">
        <f t="shared" si="4"/>
        <v>GUANAJUATO</v>
      </c>
      <c r="F31" s="23" t="str">
        <f t="shared" si="5"/>
        <v>SAN FELIPE</v>
      </c>
      <c r="G31" s="76" t="s">
        <v>343</v>
      </c>
      <c r="H31" s="81" t="s">
        <v>223</v>
      </c>
      <c r="I31" s="25">
        <v>2</v>
      </c>
      <c r="L31" s="27">
        <v>44749</v>
      </c>
      <c r="M31" s="28" t="s">
        <v>25</v>
      </c>
      <c r="P31" s="18" t="s">
        <v>331</v>
      </c>
      <c r="Q31" s="2" t="str">
        <f t="shared" si="0"/>
        <v>Imprimir</v>
      </c>
      <c r="R31" s="2" t="s">
        <v>329</v>
      </c>
      <c r="S31" s="2"/>
      <c r="T31" s="64"/>
      <c r="U31" s="18" t="s">
        <v>15</v>
      </c>
      <c r="V31" s="18" t="s">
        <v>15</v>
      </c>
      <c r="W31" s="18" t="str">
        <f t="shared" si="1"/>
        <v>CAP</v>
      </c>
      <c r="X31" s="18" t="str">
        <f t="shared" si="2"/>
        <v>. 20 - NC</v>
      </c>
      <c r="Y31" s="18"/>
      <c r="AA31" s="22">
        <v>0</v>
      </c>
      <c r="AB31" s="29" t="str">
        <f t="shared" si="3"/>
        <v>Cambió</v>
      </c>
      <c r="AC31" s="30" t="s">
        <v>31</v>
      </c>
      <c r="AD31" s="29" t="s">
        <v>33</v>
      </c>
      <c r="AE31" s="29" t="s">
        <v>33</v>
      </c>
      <c r="AF31" s="11" t="s">
        <v>72</v>
      </c>
      <c r="AG31" s="31"/>
      <c r="AH31" s="31"/>
    </row>
    <row r="32" spans="1:34" s="26" customFormat="1" ht="60" x14ac:dyDescent="0.25">
      <c r="A32" s="67">
        <v>21</v>
      </c>
      <c r="B32" s="82" t="s">
        <v>377</v>
      </c>
      <c r="C32" s="21" t="s">
        <v>413</v>
      </c>
      <c r="D32" s="22">
        <v>21734.999999999964</v>
      </c>
      <c r="E32" s="23" t="str">
        <f t="shared" si="4"/>
        <v>GUANAJUATO</v>
      </c>
      <c r="F32" s="23" t="str">
        <f t="shared" si="5"/>
        <v>SAN FELIPE</v>
      </c>
      <c r="G32" s="76" t="s">
        <v>43</v>
      </c>
      <c r="H32" s="81" t="s">
        <v>223</v>
      </c>
      <c r="I32" s="25">
        <v>2</v>
      </c>
      <c r="L32" s="27">
        <v>44749</v>
      </c>
      <c r="M32" s="28" t="s">
        <v>25</v>
      </c>
      <c r="P32" s="18" t="s">
        <v>331</v>
      </c>
      <c r="Q32" s="2" t="str">
        <f t="shared" si="0"/>
        <v>Imprimir</v>
      </c>
      <c r="R32" s="2" t="s">
        <v>329</v>
      </c>
      <c r="S32" s="2"/>
      <c r="T32" s="64"/>
      <c r="U32" s="18" t="s">
        <v>15</v>
      </c>
      <c r="V32" s="18" t="s">
        <v>15</v>
      </c>
      <c r="W32" s="18" t="str">
        <f t="shared" si="1"/>
        <v>CAP</v>
      </c>
      <c r="X32" s="18" t="str">
        <f t="shared" si="2"/>
        <v>. 21 - NC</v>
      </c>
      <c r="Y32" s="18"/>
      <c r="AA32" s="22">
        <v>0</v>
      </c>
      <c r="AB32" s="29" t="str">
        <f t="shared" si="3"/>
        <v>Cambió</v>
      </c>
      <c r="AC32" s="30" t="s">
        <v>31</v>
      </c>
      <c r="AD32" s="29" t="s">
        <v>33</v>
      </c>
      <c r="AE32" s="29" t="s">
        <v>33</v>
      </c>
      <c r="AF32" s="11" t="s">
        <v>72</v>
      </c>
      <c r="AG32" s="31"/>
      <c r="AH32" s="31"/>
    </row>
    <row r="33" spans="1:34" s="26" customFormat="1" ht="60" x14ac:dyDescent="0.25">
      <c r="A33" s="67">
        <v>22</v>
      </c>
      <c r="B33" s="82" t="s">
        <v>377</v>
      </c>
      <c r="C33" s="21" t="s">
        <v>414</v>
      </c>
      <c r="D33" s="22">
        <v>16249.999999999964</v>
      </c>
      <c r="E33" s="23" t="str">
        <f t="shared" si="4"/>
        <v>GUANAJUATO</v>
      </c>
      <c r="F33" s="23" t="str">
        <f t="shared" si="5"/>
        <v>SAN FELIPE</v>
      </c>
      <c r="G33" s="76" t="s">
        <v>350</v>
      </c>
      <c r="H33" s="81" t="s">
        <v>223</v>
      </c>
      <c r="I33" s="25">
        <v>2</v>
      </c>
      <c r="L33" s="27">
        <v>44749</v>
      </c>
      <c r="M33" s="28" t="s">
        <v>25</v>
      </c>
      <c r="P33" s="18" t="s">
        <v>331</v>
      </c>
      <c r="Q33" s="2" t="str">
        <f t="shared" si="0"/>
        <v>Imprimir</v>
      </c>
      <c r="R33" s="2" t="s">
        <v>329</v>
      </c>
      <c r="S33" s="2"/>
      <c r="T33" s="64"/>
      <c r="U33" s="18" t="s">
        <v>15</v>
      </c>
      <c r="V33" s="18" t="s">
        <v>15</v>
      </c>
      <c r="W33" s="18" t="str">
        <f t="shared" si="1"/>
        <v>CAP</v>
      </c>
      <c r="X33" s="18" t="str">
        <f t="shared" si="2"/>
        <v>. 22 - NC</v>
      </c>
      <c r="Y33" s="18"/>
      <c r="AA33" s="22">
        <v>0</v>
      </c>
      <c r="AB33" s="29" t="str">
        <f t="shared" si="3"/>
        <v>Cambió</v>
      </c>
      <c r="AC33" s="30" t="s">
        <v>31</v>
      </c>
      <c r="AD33" s="29" t="s">
        <v>33</v>
      </c>
      <c r="AE33" s="29" t="s">
        <v>33</v>
      </c>
      <c r="AF33" s="11" t="s">
        <v>72</v>
      </c>
      <c r="AG33" s="31"/>
      <c r="AH33" s="31"/>
    </row>
    <row r="34" spans="1:34" s="26" customFormat="1" ht="60" x14ac:dyDescent="0.25">
      <c r="A34" s="67">
        <v>23</v>
      </c>
      <c r="B34" s="82" t="s">
        <v>377</v>
      </c>
      <c r="C34" s="21" t="s">
        <v>415</v>
      </c>
      <c r="D34" s="22">
        <v>16249.999999999964</v>
      </c>
      <c r="E34" s="23" t="str">
        <f t="shared" si="4"/>
        <v>GUANAJUATO</v>
      </c>
      <c r="F34" s="23" t="str">
        <f t="shared" si="5"/>
        <v>SAN FELIPE</v>
      </c>
      <c r="G34" s="76" t="s">
        <v>616</v>
      </c>
      <c r="H34" s="81" t="s">
        <v>223</v>
      </c>
      <c r="I34" s="25">
        <v>2</v>
      </c>
      <c r="L34" s="27">
        <v>44749</v>
      </c>
      <c r="M34" s="28" t="s">
        <v>25</v>
      </c>
      <c r="P34" s="18" t="s">
        <v>331</v>
      </c>
      <c r="Q34" s="2" t="str">
        <f t="shared" si="0"/>
        <v>Imprimir</v>
      </c>
      <c r="R34" s="2" t="s">
        <v>329</v>
      </c>
      <c r="S34" s="2"/>
      <c r="T34" s="64"/>
      <c r="U34" s="18" t="s">
        <v>15</v>
      </c>
      <c r="V34" s="18" t="s">
        <v>15</v>
      </c>
      <c r="W34" s="18" t="str">
        <f t="shared" si="1"/>
        <v>CAP</v>
      </c>
      <c r="X34" s="18" t="str">
        <f t="shared" si="2"/>
        <v>. 23 - NC</v>
      </c>
      <c r="Y34" s="18"/>
      <c r="AA34" s="22">
        <v>0</v>
      </c>
      <c r="AB34" s="29" t="str">
        <f t="shared" si="3"/>
        <v>Cambió</v>
      </c>
      <c r="AC34" s="30" t="s">
        <v>31</v>
      </c>
      <c r="AD34" s="29" t="s">
        <v>33</v>
      </c>
      <c r="AE34" s="29" t="s">
        <v>33</v>
      </c>
      <c r="AF34" s="11" t="s">
        <v>72</v>
      </c>
      <c r="AG34" s="31"/>
      <c r="AH34" s="31"/>
    </row>
    <row r="35" spans="1:34" s="26" customFormat="1" ht="79.5" customHeight="1" x14ac:dyDescent="0.25">
      <c r="A35" s="67">
        <v>24</v>
      </c>
      <c r="B35" s="82" t="s">
        <v>377</v>
      </c>
      <c r="C35" s="21" t="s">
        <v>416</v>
      </c>
      <c r="D35" s="22">
        <v>16249.999999999964</v>
      </c>
      <c r="E35" s="23" t="str">
        <f t="shared" si="4"/>
        <v>GUANAJUATO</v>
      </c>
      <c r="F35" s="23" t="str">
        <f t="shared" si="5"/>
        <v>SAN FELIPE</v>
      </c>
      <c r="G35" s="76" t="s">
        <v>617</v>
      </c>
      <c r="H35" s="81" t="s">
        <v>223</v>
      </c>
      <c r="I35" s="25">
        <v>2</v>
      </c>
      <c r="L35" s="27">
        <v>44749</v>
      </c>
      <c r="M35" s="28" t="s">
        <v>25</v>
      </c>
      <c r="P35" s="18" t="s">
        <v>331</v>
      </c>
      <c r="Q35" s="2" t="str">
        <f t="shared" si="0"/>
        <v>Imprimir</v>
      </c>
      <c r="R35" s="2" t="s">
        <v>329</v>
      </c>
      <c r="S35" s="2"/>
      <c r="T35" s="64"/>
      <c r="U35" s="18" t="s">
        <v>15</v>
      </c>
      <c r="V35" s="18" t="s">
        <v>15</v>
      </c>
      <c r="W35" s="18" t="str">
        <f t="shared" si="1"/>
        <v>CAP</v>
      </c>
      <c r="X35" s="18" t="str">
        <f t="shared" si="2"/>
        <v>. 24 - NC</v>
      </c>
      <c r="Y35" s="18"/>
      <c r="AA35" s="22">
        <v>0</v>
      </c>
      <c r="AB35" s="29" t="str">
        <f t="shared" si="3"/>
        <v>Cambió</v>
      </c>
      <c r="AC35" s="30" t="s">
        <v>31</v>
      </c>
      <c r="AD35" s="29" t="s">
        <v>33</v>
      </c>
      <c r="AE35" s="29" t="s">
        <v>33</v>
      </c>
      <c r="AF35" s="11" t="s">
        <v>72</v>
      </c>
      <c r="AG35" s="31"/>
      <c r="AH35" s="31"/>
    </row>
    <row r="36" spans="1:34" s="26" customFormat="1" ht="45" x14ac:dyDescent="0.25">
      <c r="A36" s="67">
        <v>25</v>
      </c>
      <c r="B36" s="82" t="s">
        <v>377</v>
      </c>
      <c r="C36" s="21" t="s">
        <v>417</v>
      </c>
      <c r="D36" s="22">
        <v>16249.999999999964</v>
      </c>
      <c r="E36" s="23" t="str">
        <f t="shared" si="4"/>
        <v>GUANAJUATO</v>
      </c>
      <c r="F36" s="23" t="str">
        <f t="shared" si="5"/>
        <v>SAN FELIPE</v>
      </c>
      <c r="G36" s="76" t="s">
        <v>618</v>
      </c>
      <c r="H36" s="81" t="s">
        <v>223</v>
      </c>
      <c r="I36" s="25">
        <v>2</v>
      </c>
      <c r="L36" s="27">
        <v>44749</v>
      </c>
      <c r="M36" s="28" t="s">
        <v>25</v>
      </c>
      <c r="P36" s="18" t="s">
        <v>331</v>
      </c>
      <c r="Q36" s="2" t="str">
        <f t="shared" si="0"/>
        <v>Imprimir</v>
      </c>
      <c r="R36" s="2" t="s">
        <v>329</v>
      </c>
      <c r="S36" s="2"/>
      <c r="T36" s="64"/>
      <c r="U36" s="26" t="s">
        <v>15</v>
      </c>
      <c r="V36" s="18" t="s">
        <v>15</v>
      </c>
      <c r="W36" s="18" t="str">
        <f t="shared" si="1"/>
        <v>CAP</v>
      </c>
      <c r="X36" s="18" t="str">
        <f t="shared" si="2"/>
        <v>. 25 - NC</v>
      </c>
      <c r="Y36" s="18"/>
      <c r="AA36" s="22">
        <v>0</v>
      </c>
      <c r="AB36" s="29" t="str">
        <f t="shared" si="3"/>
        <v>Cambió</v>
      </c>
      <c r="AC36" s="30" t="s">
        <v>31</v>
      </c>
      <c r="AD36" s="29" t="s">
        <v>33</v>
      </c>
      <c r="AE36" s="29" t="s">
        <v>33</v>
      </c>
      <c r="AF36" s="11" t="s">
        <v>72</v>
      </c>
      <c r="AG36" s="31"/>
      <c r="AH36" s="31"/>
    </row>
    <row r="37" spans="1:34" s="26" customFormat="1" ht="60" x14ac:dyDescent="0.25">
      <c r="A37" s="67">
        <v>26</v>
      </c>
      <c r="B37" s="82" t="s">
        <v>377</v>
      </c>
      <c r="C37" s="21" t="s">
        <v>418</v>
      </c>
      <c r="D37" s="22">
        <v>16249.999999999964</v>
      </c>
      <c r="E37" s="23" t="str">
        <f t="shared" si="4"/>
        <v>GUANAJUATO</v>
      </c>
      <c r="F37" s="23" t="str">
        <f t="shared" si="5"/>
        <v>SAN FELIPE</v>
      </c>
      <c r="G37" s="76" t="s">
        <v>619</v>
      </c>
      <c r="H37" s="81" t="s">
        <v>223</v>
      </c>
      <c r="I37" s="25">
        <v>2</v>
      </c>
      <c r="L37" s="27">
        <v>44749</v>
      </c>
      <c r="M37" s="28" t="s">
        <v>25</v>
      </c>
      <c r="P37" s="18" t="s">
        <v>331</v>
      </c>
      <c r="Q37" s="2" t="str">
        <f t="shared" si="0"/>
        <v>Imprimir</v>
      </c>
      <c r="R37" s="2" t="s">
        <v>329</v>
      </c>
      <c r="S37" s="2"/>
      <c r="T37" s="64"/>
      <c r="U37" s="18" t="s">
        <v>15</v>
      </c>
      <c r="V37" s="18" t="s">
        <v>15</v>
      </c>
      <c r="W37" s="18" t="str">
        <f t="shared" si="1"/>
        <v>CAP</v>
      </c>
      <c r="X37" s="18" t="str">
        <f t="shared" si="2"/>
        <v>. 26 - NC</v>
      </c>
      <c r="Y37" s="18"/>
      <c r="AA37" s="22">
        <v>0</v>
      </c>
      <c r="AB37" s="29" t="str">
        <f t="shared" si="3"/>
        <v>Cambió</v>
      </c>
      <c r="AC37" s="30" t="s">
        <v>31</v>
      </c>
      <c r="AD37" s="29" t="s">
        <v>33</v>
      </c>
      <c r="AE37" s="29" t="s">
        <v>33</v>
      </c>
      <c r="AF37" s="11" t="s">
        <v>72</v>
      </c>
      <c r="AG37" s="31"/>
      <c r="AH37" s="31"/>
    </row>
    <row r="38" spans="1:34" s="26" customFormat="1" ht="60" x14ac:dyDescent="0.25">
      <c r="A38" s="67">
        <v>27</v>
      </c>
      <c r="B38" s="82" t="s">
        <v>377</v>
      </c>
      <c r="C38" s="21" t="s">
        <v>419</v>
      </c>
      <c r="D38" s="22">
        <v>16249.999999999964</v>
      </c>
      <c r="E38" s="23" t="str">
        <f t="shared" si="4"/>
        <v>GUANAJUATO</v>
      </c>
      <c r="F38" s="23" t="str">
        <f t="shared" si="5"/>
        <v>SAN FELIPE</v>
      </c>
      <c r="G38" s="76" t="s">
        <v>618</v>
      </c>
      <c r="H38" s="81" t="s">
        <v>223</v>
      </c>
      <c r="I38" s="25">
        <v>2</v>
      </c>
      <c r="L38" s="27">
        <v>44749</v>
      </c>
      <c r="M38" s="28" t="s">
        <v>25</v>
      </c>
      <c r="P38" s="18" t="s">
        <v>331</v>
      </c>
      <c r="Q38" s="2" t="str">
        <f t="shared" si="0"/>
        <v>Imprimir</v>
      </c>
      <c r="R38" s="2" t="s">
        <v>329</v>
      </c>
      <c r="S38" s="2"/>
      <c r="T38" s="64"/>
      <c r="U38" s="26" t="s">
        <v>15</v>
      </c>
      <c r="V38" s="18" t="s">
        <v>15</v>
      </c>
      <c r="W38" s="18" t="str">
        <f t="shared" si="1"/>
        <v>CAP</v>
      </c>
      <c r="X38" s="18" t="str">
        <f t="shared" si="2"/>
        <v>. 27 - NC</v>
      </c>
      <c r="Y38" s="18"/>
      <c r="AA38" s="22">
        <v>0</v>
      </c>
      <c r="AB38" s="29" t="str">
        <f t="shared" si="3"/>
        <v>Cambió</v>
      </c>
      <c r="AC38" s="30" t="s">
        <v>31</v>
      </c>
      <c r="AD38" s="29" t="s">
        <v>33</v>
      </c>
      <c r="AE38" s="29" t="s">
        <v>33</v>
      </c>
      <c r="AF38" s="11" t="s">
        <v>72</v>
      </c>
      <c r="AG38" s="31"/>
      <c r="AH38" s="31"/>
    </row>
    <row r="39" spans="1:34" s="26" customFormat="1" ht="60" x14ac:dyDescent="0.25">
      <c r="A39" s="67">
        <v>28</v>
      </c>
      <c r="B39" s="82" t="s">
        <v>377</v>
      </c>
      <c r="C39" s="21" t="s">
        <v>420</v>
      </c>
      <c r="D39" s="22">
        <v>16249.999999999964</v>
      </c>
      <c r="E39" s="23" t="str">
        <f t="shared" si="4"/>
        <v>GUANAJUATO</v>
      </c>
      <c r="F39" s="23" t="str">
        <f t="shared" si="5"/>
        <v>SAN FELIPE</v>
      </c>
      <c r="G39" s="66" t="s">
        <v>357</v>
      </c>
      <c r="H39" s="81" t="s">
        <v>223</v>
      </c>
      <c r="I39" s="25">
        <v>2</v>
      </c>
      <c r="L39" s="27">
        <v>44750</v>
      </c>
      <c r="M39" s="28" t="s">
        <v>25</v>
      </c>
      <c r="P39" s="18" t="s">
        <v>331</v>
      </c>
      <c r="Q39" s="2" t="str">
        <f t="shared" si="0"/>
        <v>Imprimir</v>
      </c>
      <c r="R39" s="2" t="s">
        <v>329</v>
      </c>
      <c r="S39" s="2"/>
      <c r="T39" s="64"/>
      <c r="U39" s="18" t="s">
        <v>15</v>
      </c>
      <c r="V39" s="18" t="s">
        <v>15</v>
      </c>
      <c r="W39" s="18" t="str">
        <f t="shared" si="1"/>
        <v>CAP</v>
      </c>
      <c r="X39" s="18" t="str">
        <f t="shared" si="2"/>
        <v>. 28 - NC</v>
      </c>
      <c r="Y39" s="18"/>
      <c r="AA39" s="22">
        <v>0</v>
      </c>
      <c r="AB39" s="29" t="str">
        <f t="shared" si="3"/>
        <v>Cambió</v>
      </c>
      <c r="AC39" s="30" t="s">
        <v>31</v>
      </c>
      <c r="AD39" s="29" t="s">
        <v>33</v>
      </c>
      <c r="AE39" s="29" t="s">
        <v>33</v>
      </c>
      <c r="AF39" s="11" t="s">
        <v>72</v>
      </c>
      <c r="AG39" s="31"/>
      <c r="AH39" s="31"/>
    </row>
    <row r="40" spans="1:34" s="26" customFormat="1" ht="60" x14ac:dyDescent="0.25">
      <c r="A40" s="67">
        <v>29</v>
      </c>
      <c r="B40" s="82" t="s">
        <v>377</v>
      </c>
      <c r="C40" s="21" t="s">
        <v>421</v>
      </c>
      <c r="D40" s="22">
        <v>14489.999999999964</v>
      </c>
      <c r="E40" s="23" t="str">
        <f t="shared" si="4"/>
        <v>GUANAJUATO</v>
      </c>
      <c r="F40" s="23" t="str">
        <f t="shared" si="5"/>
        <v>SAN FELIPE</v>
      </c>
      <c r="G40" s="66" t="s">
        <v>43</v>
      </c>
      <c r="H40" s="81" t="s">
        <v>223</v>
      </c>
      <c r="I40" s="25">
        <v>2</v>
      </c>
      <c r="L40" s="27">
        <v>44750</v>
      </c>
      <c r="M40" s="28" t="s">
        <v>25</v>
      </c>
      <c r="P40" s="18" t="s">
        <v>330</v>
      </c>
      <c r="Q40" s="2" t="str">
        <f t="shared" si="0"/>
        <v>Imprimir</v>
      </c>
      <c r="R40" s="2" t="s">
        <v>329</v>
      </c>
      <c r="S40" s="2"/>
      <c r="T40" s="64"/>
      <c r="U40" s="18" t="s">
        <v>15</v>
      </c>
      <c r="V40" s="18" t="s">
        <v>15</v>
      </c>
      <c r="W40" s="18" t="str">
        <f t="shared" si="1"/>
        <v>CAP</v>
      </c>
      <c r="X40" s="18" t="str">
        <f t="shared" si="2"/>
        <v>. 29 - NC</v>
      </c>
      <c r="Y40" s="18"/>
      <c r="AA40" s="22">
        <v>0</v>
      </c>
      <c r="AB40" s="29" t="str">
        <f t="shared" si="3"/>
        <v>Cambió</v>
      </c>
      <c r="AC40" s="30" t="s">
        <v>31</v>
      </c>
      <c r="AD40" s="29" t="s">
        <v>33</v>
      </c>
      <c r="AE40" s="29" t="s">
        <v>33</v>
      </c>
      <c r="AF40" s="11" t="s">
        <v>72</v>
      </c>
      <c r="AG40" s="31"/>
      <c r="AH40" s="31"/>
    </row>
    <row r="41" spans="1:34" s="26" customFormat="1" ht="68.25" customHeight="1" x14ac:dyDescent="0.25">
      <c r="A41" s="67">
        <v>30</v>
      </c>
      <c r="B41" s="82" t="s">
        <v>377</v>
      </c>
      <c r="C41" s="21" t="s">
        <v>422</v>
      </c>
      <c r="D41" s="22">
        <v>14489.999999999964</v>
      </c>
      <c r="E41" s="23" t="str">
        <f t="shared" si="4"/>
        <v>GUANAJUATO</v>
      </c>
      <c r="F41" s="23" t="str">
        <f t="shared" si="5"/>
        <v>SAN FELIPE</v>
      </c>
      <c r="G41" s="66" t="s">
        <v>340</v>
      </c>
      <c r="H41" s="81" t="s">
        <v>223</v>
      </c>
      <c r="I41" s="25">
        <v>2</v>
      </c>
      <c r="L41" s="27">
        <v>44750</v>
      </c>
      <c r="M41" s="28" t="s">
        <v>25</v>
      </c>
      <c r="P41" s="18" t="s">
        <v>330</v>
      </c>
      <c r="Q41" s="2" t="str">
        <f t="shared" si="0"/>
        <v>Imprimir</v>
      </c>
      <c r="R41" s="2" t="s">
        <v>329</v>
      </c>
      <c r="S41" s="2"/>
      <c r="T41" s="64"/>
      <c r="U41" s="18" t="s">
        <v>15</v>
      </c>
      <c r="V41" s="18" t="s">
        <v>15</v>
      </c>
      <c r="W41" s="18" t="str">
        <f t="shared" si="1"/>
        <v>CAP</v>
      </c>
      <c r="X41" s="18" t="str">
        <f t="shared" si="2"/>
        <v>. 30 - NC</v>
      </c>
      <c r="Y41" s="18"/>
      <c r="AA41" s="22">
        <v>0</v>
      </c>
      <c r="AB41" s="29" t="str">
        <f t="shared" si="3"/>
        <v>Cambió</v>
      </c>
      <c r="AC41" s="30" t="s">
        <v>31</v>
      </c>
      <c r="AD41" s="29" t="s">
        <v>33</v>
      </c>
      <c r="AE41" s="29" t="s">
        <v>33</v>
      </c>
      <c r="AF41" s="11" t="s">
        <v>72</v>
      </c>
      <c r="AG41" s="31"/>
      <c r="AH41" s="31"/>
    </row>
    <row r="42" spans="1:34" s="26" customFormat="1" ht="60" x14ac:dyDescent="0.25">
      <c r="A42" s="67">
        <v>31</v>
      </c>
      <c r="B42" s="82" t="s">
        <v>377</v>
      </c>
      <c r="C42" s="21" t="s">
        <v>423</v>
      </c>
      <c r="D42" s="22">
        <v>36224.999999999964</v>
      </c>
      <c r="E42" s="23" t="str">
        <f t="shared" si="4"/>
        <v>GUANAJUATO</v>
      </c>
      <c r="F42" s="23" t="str">
        <f t="shared" si="5"/>
        <v>SAN FELIPE</v>
      </c>
      <c r="G42" s="66" t="s">
        <v>340</v>
      </c>
      <c r="H42" s="81" t="s">
        <v>223</v>
      </c>
      <c r="I42" s="25">
        <v>2</v>
      </c>
      <c r="L42" s="27">
        <v>44750</v>
      </c>
      <c r="M42" s="28" t="s">
        <v>25</v>
      </c>
      <c r="P42" s="18" t="s">
        <v>330</v>
      </c>
      <c r="Q42" s="2" t="str">
        <f t="shared" si="0"/>
        <v>Imprimir</v>
      </c>
      <c r="R42" s="2" t="s">
        <v>329</v>
      </c>
      <c r="S42" s="2"/>
      <c r="T42" s="64"/>
      <c r="U42" s="18" t="s">
        <v>15</v>
      </c>
      <c r="V42" s="18" t="s">
        <v>15</v>
      </c>
      <c r="W42" s="18" t="str">
        <f t="shared" si="1"/>
        <v>CAP</v>
      </c>
      <c r="X42" s="18" t="str">
        <f t="shared" si="2"/>
        <v>. 31 - NC</v>
      </c>
      <c r="Y42" s="18"/>
      <c r="AA42" s="22">
        <v>0</v>
      </c>
      <c r="AB42" s="29" t="str">
        <f t="shared" si="3"/>
        <v>Cambió</v>
      </c>
      <c r="AC42" s="30" t="s">
        <v>31</v>
      </c>
      <c r="AD42" s="29" t="s">
        <v>33</v>
      </c>
      <c r="AE42" s="29" t="s">
        <v>33</v>
      </c>
      <c r="AF42" s="11" t="s">
        <v>72</v>
      </c>
      <c r="AG42" s="31"/>
      <c r="AH42" s="31"/>
    </row>
    <row r="43" spans="1:34" s="26" customFormat="1" ht="81" customHeight="1" x14ac:dyDescent="0.25">
      <c r="A43" s="67">
        <v>32</v>
      </c>
      <c r="B43" s="82" t="s">
        <v>377</v>
      </c>
      <c r="C43" s="21" t="s">
        <v>424</v>
      </c>
      <c r="D43" s="22">
        <v>16249.999999999964</v>
      </c>
      <c r="E43" s="23" t="str">
        <f t="shared" si="4"/>
        <v>GUANAJUATO</v>
      </c>
      <c r="F43" s="23" t="str">
        <f t="shared" si="5"/>
        <v>SAN FELIPE</v>
      </c>
      <c r="G43" s="66" t="s">
        <v>345</v>
      </c>
      <c r="H43" s="81" t="s">
        <v>223</v>
      </c>
      <c r="I43" s="25">
        <v>2</v>
      </c>
      <c r="L43" s="27">
        <v>44750</v>
      </c>
      <c r="M43" s="28" t="s">
        <v>25</v>
      </c>
      <c r="P43" s="18" t="s">
        <v>330</v>
      </c>
      <c r="Q43" s="2" t="str">
        <f t="shared" si="0"/>
        <v>Imprimir</v>
      </c>
      <c r="R43" s="2" t="s">
        <v>329</v>
      </c>
      <c r="S43" s="2"/>
      <c r="T43" s="64"/>
      <c r="U43" s="18" t="s">
        <v>15</v>
      </c>
      <c r="V43" s="18" t="s">
        <v>15</v>
      </c>
      <c r="W43" s="18" t="str">
        <f t="shared" si="1"/>
        <v>CAP</v>
      </c>
      <c r="X43" s="18" t="str">
        <f t="shared" si="2"/>
        <v>. 32 - NC</v>
      </c>
      <c r="Y43" s="18"/>
      <c r="AA43" s="22">
        <v>0</v>
      </c>
      <c r="AB43" s="29" t="str">
        <f t="shared" si="3"/>
        <v>Cambió</v>
      </c>
      <c r="AC43" s="30" t="s">
        <v>31</v>
      </c>
      <c r="AD43" s="29" t="s">
        <v>33</v>
      </c>
      <c r="AE43" s="29" t="s">
        <v>33</v>
      </c>
      <c r="AF43" s="11" t="s">
        <v>72</v>
      </c>
      <c r="AG43" s="31"/>
      <c r="AH43" s="31"/>
    </row>
    <row r="44" spans="1:34" s="26" customFormat="1" ht="60" x14ac:dyDescent="0.25">
      <c r="A44" s="67">
        <v>33</v>
      </c>
      <c r="B44" s="82" t="s">
        <v>377</v>
      </c>
      <c r="C44" s="21" t="s">
        <v>425</v>
      </c>
      <c r="D44" s="22">
        <v>14489.999999999964</v>
      </c>
      <c r="E44" s="23" t="str">
        <f t="shared" si="4"/>
        <v>GUANAJUATO</v>
      </c>
      <c r="F44" s="23" t="str">
        <f t="shared" si="5"/>
        <v>SAN FELIPE</v>
      </c>
      <c r="G44" s="66" t="s">
        <v>345</v>
      </c>
      <c r="H44" s="81" t="s">
        <v>223</v>
      </c>
      <c r="I44" s="25">
        <v>2</v>
      </c>
      <c r="L44" s="27">
        <v>44750</v>
      </c>
      <c r="M44" s="28" t="s">
        <v>25</v>
      </c>
      <c r="P44" s="18" t="s">
        <v>330</v>
      </c>
      <c r="Q44" s="2" t="str">
        <f t="shared" si="0"/>
        <v>Imprimir</v>
      </c>
      <c r="R44" s="2" t="s">
        <v>329</v>
      </c>
      <c r="S44" s="2"/>
      <c r="T44" s="64"/>
      <c r="U44" s="18" t="s">
        <v>15</v>
      </c>
      <c r="V44" s="18" t="s">
        <v>15</v>
      </c>
      <c r="W44" s="18" t="str">
        <f t="shared" si="1"/>
        <v>CAP</v>
      </c>
      <c r="X44" s="18" t="str">
        <f t="shared" si="2"/>
        <v>. 33 - NC</v>
      </c>
      <c r="Y44" s="18"/>
      <c r="AA44" s="22">
        <v>0</v>
      </c>
      <c r="AB44" s="29" t="str">
        <f t="shared" si="3"/>
        <v>Cambió</v>
      </c>
      <c r="AC44" s="30" t="s">
        <v>31</v>
      </c>
      <c r="AD44" s="29" t="s">
        <v>33</v>
      </c>
      <c r="AE44" s="29" t="s">
        <v>33</v>
      </c>
      <c r="AF44" s="11" t="s">
        <v>72</v>
      </c>
      <c r="AG44" s="31"/>
      <c r="AH44" s="31"/>
    </row>
    <row r="45" spans="1:34" s="26" customFormat="1" ht="60" x14ac:dyDescent="0.25">
      <c r="A45" s="67">
        <v>34</v>
      </c>
      <c r="B45" s="82" t="s">
        <v>377</v>
      </c>
      <c r="C45" s="21" t="s">
        <v>425</v>
      </c>
      <c r="D45" s="22">
        <v>14489.999999999964</v>
      </c>
      <c r="E45" s="23" t="str">
        <f t="shared" si="4"/>
        <v>GUANAJUATO</v>
      </c>
      <c r="F45" s="23" t="str">
        <f t="shared" si="5"/>
        <v>SAN FELIPE</v>
      </c>
      <c r="G45" s="76" t="s">
        <v>345</v>
      </c>
      <c r="H45" s="81" t="s">
        <v>223</v>
      </c>
      <c r="I45" s="25">
        <v>2</v>
      </c>
      <c r="L45" s="27">
        <v>44750</v>
      </c>
      <c r="M45" s="28" t="s">
        <v>25</v>
      </c>
      <c r="P45" s="18" t="s">
        <v>330</v>
      </c>
      <c r="Q45" s="2" t="str">
        <f t="shared" si="0"/>
        <v>Imprimir</v>
      </c>
      <c r="R45" s="2" t="s">
        <v>329</v>
      </c>
      <c r="S45" s="2"/>
      <c r="T45" s="64"/>
      <c r="U45" s="18" t="s">
        <v>15</v>
      </c>
      <c r="V45" s="18" t="s">
        <v>15</v>
      </c>
      <c r="W45" s="18" t="str">
        <f t="shared" si="1"/>
        <v>CAP</v>
      </c>
      <c r="X45" s="18" t="str">
        <f t="shared" si="2"/>
        <v>. 34 - NC</v>
      </c>
      <c r="Y45" s="18"/>
      <c r="AA45" s="22">
        <v>0</v>
      </c>
      <c r="AB45" s="29" t="str">
        <f t="shared" si="3"/>
        <v>Cambió</v>
      </c>
      <c r="AC45" s="30" t="s">
        <v>31</v>
      </c>
      <c r="AD45" s="29" t="s">
        <v>33</v>
      </c>
      <c r="AE45" s="29" t="s">
        <v>33</v>
      </c>
      <c r="AF45" s="11" t="s">
        <v>72</v>
      </c>
      <c r="AG45" s="31"/>
      <c r="AH45" s="31"/>
    </row>
    <row r="46" spans="1:34" s="26" customFormat="1" ht="60" x14ac:dyDescent="0.25">
      <c r="A46" s="67">
        <v>35</v>
      </c>
      <c r="B46" s="82" t="s">
        <v>377</v>
      </c>
      <c r="C46" s="21" t="s">
        <v>426</v>
      </c>
      <c r="D46" s="22">
        <v>16249.999999999964</v>
      </c>
      <c r="E46" s="23" t="str">
        <f t="shared" si="4"/>
        <v>GUANAJUATO</v>
      </c>
      <c r="F46" s="23" t="str">
        <f t="shared" si="5"/>
        <v>SAN FELIPE</v>
      </c>
      <c r="G46" s="66" t="s">
        <v>620</v>
      </c>
      <c r="H46" s="81" t="s">
        <v>223</v>
      </c>
      <c r="I46" s="25">
        <v>2</v>
      </c>
      <c r="L46" s="27">
        <v>44750</v>
      </c>
      <c r="M46" s="28" t="s">
        <v>25</v>
      </c>
      <c r="P46" s="18" t="s">
        <v>330</v>
      </c>
      <c r="Q46" s="2" t="str">
        <f t="shared" si="0"/>
        <v>Imprimir</v>
      </c>
      <c r="R46" s="2" t="s">
        <v>329</v>
      </c>
      <c r="S46" s="2"/>
      <c r="T46" s="64"/>
      <c r="U46" s="18" t="s">
        <v>15</v>
      </c>
      <c r="V46" s="18" t="s">
        <v>15</v>
      </c>
      <c r="W46" s="18" t="str">
        <f t="shared" si="1"/>
        <v>CAP</v>
      </c>
      <c r="X46" s="18" t="str">
        <f t="shared" si="2"/>
        <v>. 35 - NC</v>
      </c>
      <c r="Y46" s="18"/>
      <c r="AA46" s="22">
        <v>0</v>
      </c>
      <c r="AB46" s="29" t="str">
        <f t="shared" si="3"/>
        <v>Cambió</v>
      </c>
      <c r="AC46" s="30" t="s">
        <v>31</v>
      </c>
      <c r="AD46" s="29" t="s">
        <v>33</v>
      </c>
      <c r="AE46" s="29" t="s">
        <v>33</v>
      </c>
      <c r="AF46" s="11" t="s">
        <v>72</v>
      </c>
      <c r="AG46" s="31"/>
      <c r="AH46" s="31"/>
    </row>
    <row r="47" spans="1:34" s="26" customFormat="1" ht="60" x14ac:dyDescent="0.25">
      <c r="A47" s="67">
        <v>36</v>
      </c>
      <c r="B47" s="82" t="s">
        <v>377</v>
      </c>
      <c r="C47" s="21" t="s">
        <v>427</v>
      </c>
      <c r="D47" s="22">
        <v>14489.999999999964</v>
      </c>
      <c r="E47" s="23" t="str">
        <f t="shared" si="4"/>
        <v>GUANAJUATO</v>
      </c>
      <c r="F47" s="23" t="str">
        <f t="shared" si="5"/>
        <v>SAN FELIPE</v>
      </c>
      <c r="G47" s="66" t="s">
        <v>345</v>
      </c>
      <c r="H47" s="81" t="s">
        <v>223</v>
      </c>
      <c r="I47" s="25">
        <v>2</v>
      </c>
      <c r="L47" s="27">
        <v>44750</v>
      </c>
      <c r="M47" s="28" t="s">
        <v>25</v>
      </c>
      <c r="P47" s="18" t="s">
        <v>330</v>
      </c>
      <c r="Q47" s="2" t="str">
        <f t="shared" si="0"/>
        <v>Imprimir</v>
      </c>
      <c r="R47" s="2" t="s">
        <v>329</v>
      </c>
      <c r="S47" s="2"/>
      <c r="T47" s="64"/>
      <c r="U47" s="18" t="s">
        <v>15</v>
      </c>
      <c r="V47" s="18" t="s">
        <v>15</v>
      </c>
      <c r="W47" s="18" t="str">
        <f t="shared" si="1"/>
        <v>CAP</v>
      </c>
      <c r="X47" s="18" t="str">
        <f t="shared" si="2"/>
        <v>. 36 - NC</v>
      </c>
      <c r="Y47" s="18"/>
      <c r="AA47" s="22">
        <v>0</v>
      </c>
      <c r="AB47" s="29" t="str">
        <f t="shared" si="3"/>
        <v>Cambió</v>
      </c>
      <c r="AC47" s="30" t="s">
        <v>31</v>
      </c>
      <c r="AD47" s="29" t="s">
        <v>33</v>
      </c>
      <c r="AE47" s="29" t="s">
        <v>33</v>
      </c>
      <c r="AF47" s="11" t="s">
        <v>72</v>
      </c>
      <c r="AG47" s="31"/>
      <c r="AH47" s="31"/>
    </row>
    <row r="48" spans="1:34" s="26" customFormat="1" ht="60" x14ac:dyDescent="0.25">
      <c r="A48" s="67">
        <v>37</v>
      </c>
      <c r="B48" s="82" t="s">
        <v>377</v>
      </c>
      <c r="C48" s="21" t="s">
        <v>424</v>
      </c>
      <c r="D48" s="22">
        <v>16249.999999999964</v>
      </c>
      <c r="E48" s="23" t="str">
        <f t="shared" si="4"/>
        <v>GUANAJUATO</v>
      </c>
      <c r="F48" s="23" t="str">
        <f t="shared" si="5"/>
        <v>SAN FELIPE</v>
      </c>
      <c r="G48" s="66" t="s">
        <v>345</v>
      </c>
      <c r="H48" s="81" t="s">
        <v>223</v>
      </c>
      <c r="I48" s="25">
        <v>2</v>
      </c>
      <c r="L48" s="27">
        <v>44750</v>
      </c>
      <c r="M48" s="28" t="s">
        <v>25</v>
      </c>
      <c r="P48" s="18" t="s">
        <v>330</v>
      </c>
      <c r="Q48" s="2" t="str">
        <f t="shared" si="0"/>
        <v>Imprimir</v>
      </c>
      <c r="R48" s="2" t="s">
        <v>329</v>
      </c>
      <c r="S48" s="2"/>
      <c r="T48" s="64"/>
      <c r="U48" s="18" t="s">
        <v>15</v>
      </c>
      <c r="V48" s="18" t="s">
        <v>15</v>
      </c>
      <c r="W48" s="18" t="str">
        <f t="shared" si="1"/>
        <v>CAP</v>
      </c>
      <c r="X48" s="18" t="str">
        <f t="shared" si="2"/>
        <v>. 37 - NC</v>
      </c>
      <c r="Y48" s="18"/>
      <c r="AA48" s="22">
        <v>0</v>
      </c>
      <c r="AB48" s="29" t="str">
        <f t="shared" si="3"/>
        <v>Cambió</v>
      </c>
      <c r="AC48" s="30" t="s">
        <v>31</v>
      </c>
      <c r="AD48" s="29" t="s">
        <v>33</v>
      </c>
      <c r="AE48" s="29" t="s">
        <v>33</v>
      </c>
      <c r="AF48" s="11" t="s">
        <v>72</v>
      </c>
      <c r="AG48" s="31"/>
      <c r="AH48" s="31"/>
    </row>
    <row r="49" spans="1:34" s="26" customFormat="1" ht="88.5" customHeight="1" x14ac:dyDescent="0.25">
      <c r="A49" s="67">
        <v>38</v>
      </c>
      <c r="B49" s="82" t="s">
        <v>377</v>
      </c>
      <c r="C49" s="21" t="s">
        <v>428</v>
      </c>
      <c r="D49" s="22">
        <v>14489.999999999964</v>
      </c>
      <c r="E49" s="23" t="str">
        <f t="shared" si="4"/>
        <v>GUANAJUATO</v>
      </c>
      <c r="F49" s="23" t="str">
        <f t="shared" si="5"/>
        <v>SAN FELIPE</v>
      </c>
      <c r="G49" s="66" t="s">
        <v>620</v>
      </c>
      <c r="H49" s="81" t="s">
        <v>223</v>
      </c>
      <c r="I49" s="25">
        <v>2</v>
      </c>
      <c r="L49" s="27">
        <v>44750</v>
      </c>
      <c r="M49" s="28" t="s">
        <v>25</v>
      </c>
      <c r="P49" s="18" t="s">
        <v>330</v>
      </c>
      <c r="Q49" s="2" t="str">
        <f t="shared" si="0"/>
        <v>Imprimir</v>
      </c>
      <c r="R49" s="2" t="s">
        <v>329</v>
      </c>
      <c r="S49" s="2"/>
      <c r="T49" s="64"/>
      <c r="U49" s="18" t="s">
        <v>15</v>
      </c>
      <c r="V49" s="18" t="s">
        <v>15</v>
      </c>
      <c r="W49" s="18" t="str">
        <f t="shared" si="1"/>
        <v>CAP</v>
      </c>
      <c r="X49" s="18" t="str">
        <f t="shared" si="2"/>
        <v>. 38 - NC</v>
      </c>
      <c r="Y49" s="18"/>
      <c r="AA49" s="22">
        <v>0</v>
      </c>
      <c r="AB49" s="29" t="str">
        <f t="shared" si="3"/>
        <v>Cambió</v>
      </c>
      <c r="AC49" s="30" t="s">
        <v>39</v>
      </c>
      <c r="AD49" s="29" t="s">
        <v>33</v>
      </c>
      <c r="AE49" s="29" t="s">
        <v>33</v>
      </c>
      <c r="AF49" s="11" t="s">
        <v>72</v>
      </c>
      <c r="AG49" s="31"/>
      <c r="AH49" s="31"/>
    </row>
    <row r="50" spans="1:34" s="26" customFormat="1" ht="60" x14ac:dyDescent="0.25">
      <c r="A50" s="67">
        <v>39</v>
      </c>
      <c r="B50" s="82" t="s">
        <v>377</v>
      </c>
      <c r="C50" s="21" t="s">
        <v>427</v>
      </c>
      <c r="D50" s="22">
        <v>16249.999999999964</v>
      </c>
      <c r="E50" s="23" t="str">
        <f t="shared" si="4"/>
        <v>GUANAJUATO</v>
      </c>
      <c r="F50" s="23" t="str">
        <f t="shared" si="5"/>
        <v>SAN FELIPE</v>
      </c>
      <c r="G50" s="66" t="s">
        <v>345</v>
      </c>
      <c r="H50" s="81" t="s">
        <v>223</v>
      </c>
      <c r="I50" s="25">
        <v>2</v>
      </c>
      <c r="L50" s="27">
        <v>44750</v>
      </c>
      <c r="M50" s="28" t="s">
        <v>25</v>
      </c>
      <c r="P50" s="18" t="s">
        <v>330</v>
      </c>
      <c r="Q50" s="2" t="str">
        <f t="shared" si="0"/>
        <v>Imprimir</v>
      </c>
      <c r="R50" s="2" t="s">
        <v>329</v>
      </c>
      <c r="S50" s="2"/>
      <c r="T50" s="64"/>
      <c r="U50" s="18" t="s">
        <v>15</v>
      </c>
      <c r="V50" s="18" t="s">
        <v>15</v>
      </c>
      <c r="W50" s="18" t="str">
        <f t="shared" si="1"/>
        <v>CAP</v>
      </c>
      <c r="X50" s="18" t="str">
        <f t="shared" si="2"/>
        <v>. 39 - NC</v>
      </c>
      <c r="Y50" s="18"/>
      <c r="AA50" s="22">
        <v>0</v>
      </c>
      <c r="AB50" s="29" t="str">
        <f t="shared" si="3"/>
        <v>Cambió</v>
      </c>
      <c r="AC50" s="30" t="s">
        <v>39</v>
      </c>
      <c r="AD50" s="29" t="s">
        <v>33</v>
      </c>
      <c r="AE50" s="29" t="s">
        <v>33</v>
      </c>
      <c r="AF50" s="11" t="s">
        <v>72</v>
      </c>
      <c r="AG50" s="31"/>
      <c r="AH50" s="31"/>
    </row>
    <row r="51" spans="1:34" s="26" customFormat="1" ht="77.25" customHeight="1" x14ac:dyDescent="0.25">
      <c r="A51" s="67">
        <v>40</v>
      </c>
      <c r="B51" s="82" t="s">
        <v>377</v>
      </c>
      <c r="C51" s="21" t="s">
        <v>429</v>
      </c>
      <c r="D51" s="22">
        <v>16249.999999999964</v>
      </c>
      <c r="E51" s="23" t="str">
        <f t="shared" si="4"/>
        <v>GUANAJUATO</v>
      </c>
      <c r="F51" s="23" t="str">
        <f t="shared" si="5"/>
        <v>SAN FELIPE</v>
      </c>
      <c r="G51" s="76" t="s">
        <v>220</v>
      </c>
      <c r="H51" s="81" t="s">
        <v>223</v>
      </c>
      <c r="I51" s="25">
        <v>2</v>
      </c>
      <c r="L51" s="27">
        <v>44750</v>
      </c>
      <c r="M51" s="28" t="s">
        <v>25</v>
      </c>
      <c r="P51" s="18"/>
      <c r="Q51" s="2" t="str">
        <f t="shared" si="0"/>
        <v>Imprimir</v>
      </c>
      <c r="R51" s="2" t="s">
        <v>329</v>
      </c>
      <c r="S51" s="2"/>
      <c r="T51" s="64"/>
      <c r="U51" s="18" t="s">
        <v>15</v>
      </c>
      <c r="V51" s="18" t="s">
        <v>15</v>
      </c>
      <c r="W51" s="18" t="str">
        <f t="shared" si="1"/>
        <v>CAP</v>
      </c>
      <c r="X51" s="18" t="str">
        <f t="shared" si="2"/>
        <v>. 40 - NC</v>
      </c>
      <c r="Y51" s="18"/>
      <c r="AA51" s="22">
        <v>0</v>
      </c>
      <c r="AB51" s="29" t="str">
        <f t="shared" si="3"/>
        <v>Cambió</v>
      </c>
      <c r="AC51" s="30" t="s">
        <v>39</v>
      </c>
      <c r="AD51" s="29" t="s">
        <v>33</v>
      </c>
      <c r="AE51" s="29" t="s">
        <v>33</v>
      </c>
      <c r="AF51" s="11" t="s">
        <v>72</v>
      </c>
      <c r="AG51" s="31"/>
      <c r="AH51" s="31"/>
    </row>
    <row r="52" spans="1:34" s="26" customFormat="1" ht="72.75" customHeight="1" x14ac:dyDescent="0.25">
      <c r="A52" s="67">
        <v>41</v>
      </c>
      <c r="B52" s="82" t="s">
        <v>377</v>
      </c>
      <c r="C52" s="21" t="s">
        <v>430</v>
      </c>
      <c r="D52" s="22">
        <v>21734.999999999964</v>
      </c>
      <c r="E52" s="23" t="str">
        <f t="shared" si="4"/>
        <v>GUANAJUATO</v>
      </c>
      <c r="F52" s="23" t="str">
        <f t="shared" si="5"/>
        <v>SAN FELIPE</v>
      </c>
      <c r="G52" s="66" t="s">
        <v>365</v>
      </c>
      <c r="H52" s="81" t="s">
        <v>223</v>
      </c>
      <c r="I52" s="25">
        <v>2</v>
      </c>
      <c r="L52" s="27">
        <v>44750</v>
      </c>
      <c r="M52" s="28" t="s">
        <v>25</v>
      </c>
      <c r="P52" s="18"/>
      <c r="Q52" s="2" t="str">
        <f t="shared" si="0"/>
        <v>Imprimir</v>
      </c>
      <c r="R52" s="2" t="s">
        <v>333</v>
      </c>
      <c r="S52" s="2"/>
      <c r="T52" s="64"/>
      <c r="U52" s="18" t="s">
        <v>15</v>
      </c>
      <c r="V52" s="18" t="s">
        <v>15</v>
      </c>
      <c r="W52" s="18" t="str">
        <f t="shared" si="1"/>
        <v>CAP</v>
      </c>
      <c r="X52" s="18" t="str">
        <f t="shared" si="2"/>
        <v>. 41 - NC</v>
      </c>
      <c r="Y52" s="18"/>
      <c r="AA52" s="22">
        <v>0</v>
      </c>
      <c r="AB52" s="29" t="str">
        <f t="shared" si="3"/>
        <v>Cambió</v>
      </c>
      <c r="AC52" s="30" t="s">
        <v>39</v>
      </c>
      <c r="AD52" s="29" t="s">
        <v>33</v>
      </c>
      <c r="AE52" s="29" t="s">
        <v>33</v>
      </c>
      <c r="AF52" s="11" t="s">
        <v>72</v>
      </c>
      <c r="AG52" s="31"/>
      <c r="AH52" s="31"/>
    </row>
    <row r="53" spans="1:34" s="26" customFormat="1" ht="60" x14ac:dyDescent="0.25">
      <c r="A53" s="67">
        <v>42</v>
      </c>
      <c r="B53" s="82" t="s">
        <v>377</v>
      </c>
      <c r="C53" s="21" t="s">
        <v>431</v>
      </c>
      <c r="D53" s="22">
        <v>16249.999999999964</v>
      </c>
      <c r="E53" s="23" t="str">
        <f t="shared" si="4"/>
        <v>GUANAJUATO</v>
      </c>
      <c r="F53" s="23" t="str">
        <f t="shared" si="5"/>
        <v>SAN FELIPE</v>
      </c>
      <c r="G53" s="66" t="s">
        <v>621</v>
      </c>
      <c r="H53" s="81" t="s">
        <v>223</v>
      </c>
      <c r="I53" s="25">
        <v>2</v>
      </c>
      <c r="L53" s="27">
        <v>44750</v>
      </c>
      <c r="M53" s="28" t="s">
        <v>25</v>
      </c>
      <c r="P53" s="18"/>
      <c r="Q53" s="2" t="str">
        <f t="shared" si="0"/>
        <v>Imprimir</v>
      </c>
      <c r="R53" s="2" t="s">
        <v>333</v>
      </c>
      <c r="S53" s="2"/>
      <c r="T53" s="64"/>
      <c r="U53" s="18" t="s">
        <v>15</v>
      </c>
      <c r="V53" s="18" t="s">
        <v>15</v>
      </c>
      <c r="W53" s="18" t="str">
        <f t="shared" si="1"/>
        <v>CAP</v>
      </c>
      <c r="X53" s="18" t="str">
        <f t="shared" si="2"/>
        <v>. 42 - NC</v>
      </c>
      <c r="Y53" s="18"/>
      <c r="AA53" s="22">
        <v>0</v>
      </c>
      <c r="AB53" s="29" t="str">
        <f t="shared" si="3"/>
        <v>Cambió</v>
      </c>
      <c r="AC53" s="30" t="s">
        <v>39</v>
      </c>
      <c r="AD53" s="29" t="s">
        <v>33</v>
      </c>
      <c r="AE53" s="29" t="s">
        <v>33</v>
      </c>
      <c r="AF53" s="11" t="s">
        <v>72</v>
      </c>
      <c r="AG53" s="31"/>
      <c r="AH53" s="31"/>
    </row>
    <row r="54" spans="1:34" s="26" customFormat="1" ht="60" x14ac:dyDescent="0.25">
      <c r="A54" s="67">
        <v>43</v>
      </c>
      <c r="B54" s="82" t="s">
        <v>377</v>
      </c>
      <c r="C54" s="21" t="s">
        <v>432</v>
      </c>
      <c r="D54" s="22">
        <v>16249.999999999964</v>
      </c>
      <c r="E54" s="23" t="str">
        <f t="shared" si="4"/>
        <v>GUANAJUATO</v>
      </c>
      <c r="F54" s="23" t="str">
        <f t="shared" si="5"/>
        <v>SAN FELIPE</v>
      </c>
      <c r="G54" s="66" t="s">
        <v>389</v>
      </c>
      <c r="H54" s="81" t="s">
        <v>223</v>
      </c>
      <c r="I54" s="25">
        <v>2</v>
      </c>
      <c r="L54" s="27">
        <v>44750</v>
      </c>
      <c r="M54" s="28" t="s">
        <v>25</v>
      </c>
      <c r="P54" s="18"/>
      <c r="Q54" s="2" t="str">
        <f t="shared" si="0"/>
        <v>Imprimir</v>
      </c>
      <c r="R54" s="2" t="s">
        <v>333</v>
      </c>
      <c r="S54" s="2"/>
      <c r="T54" s="64"/>
      <c r="U54" s="18" t="s">
        <v>15</v>
      </c>
      <c r="V54" s="18" t="s">
        <v>15</v>
      </c>
      <c r="W54" s="18" t="str">
        <f t="shared" si="1"/>
        <v>CAP</v>
      </c>
      <c r="X54" s="18" t="str">
        <f t="shared" si="2"/>
        <v>. 43 - NC</v>
      </c>
      <c r="Y54" s="18"/>
      <c r="AA54" s="22">
        <v>0</v>
      </c>
      <c r="AB54" s="29" t="str">
        <f t="shared" si="3"/>
        <v>Cambió</v>
      </c>
      <c r="AC54" s="30" t="s">
        <v>39</v>
      </c>
      <c r="AD54" s="29" t="s">
        <v>33</v>
      </c>
      <c r="AE54" s="29" t="s">
        <v>33</v>
      </c>
      <c r="AF54" s="11" t="s">
        <v>72</v>
      </c>
      <c r="AG54" s="31"/>
      <c r="AH54" s="31"/>
    </row>
    <row r="55" spans="1:34" s="26" customFormat="1" ht="60" x14ac:dyDescent="0.25">
      <c r="A55" s="67">
        <v>44</v>
      </c>
      <c r="B55" s="82" t="s">
        <v>377</v>
      </c>
      <c r="C55" s="21" t="s">
        <v>433</v>
      </c>
      <c r="D55" s="22">
        <v>16249.999999999964</v>
      </c>
      <c r="E55" s="23" t="str">
        <f t="shared" si="4"/>
        <v>GUANAJUATO</v>
      </c>
      <c r="F55" s="23" t="str">
        <f t="shared" si="5"/>
        <v>SAN FELIPE</v>
      </c>
      <c r="G55" s="66" t="s">
        <v>62</v>
      </c>
      <c r="H55" s="81" t="s">
        <v>223</v>
      </c>
      <c r="I55" s="25">
        <v>2</v>
      </c>
      <c r="L55" s="27">
        <v>44757</v>
      </c>
      <c r="M55" s="28" t="s">
        <v>25</v>
      </c>
      <c r="P55" s="18"/>
      <c r="Q55" s="2" t="str">
        <f t="shared" si="0"/>
        <v>Imprimir</v>
      </c>
      <c r="R55" s="2" t="s">
        <v>333</v>
      </c>
      <c r="S55" s="2"/>
      <c r="T55" s="64"/>
      <c r="U55" s="18" t="s">
        <v>15</v>
      </c>
      <c r="V55" s="18" t="s">
        <v>15</v>
      </c>
      <c r="W55" s="18" t="str">
        <f t="shared" si="1"/>
        <v>CAP</v>
      </c>
      <c r="X55" s="18" t="str">
        <f t="shared" si="2"/>
        <v>. 44 - NC</v>
      </c>
      <c r="Y55" s="18"/>
      <c r="AA55" s="22">
        <v>0</v>
      </c>
      <c r="AB55" s="29" t="str">
        <f t="shared" si="3"/>
        <v>Cambió</v>
      </c>
      <c r="AC55" s="30" t="s">
        <v>39</v>
      </c>
      <c r="AD55" s="29" t="s">
        <v>33</v>
      </c>
      <c r="AE55" s="29" t="s">
        <v>33</v>
      </c>
      <c r="AF55" s="11" t="s">
        <v>72</v>
      </c>
      <c r="AG55" s="31"/>
      <c r="AH55" s="31"/>
    </row>
    <row r="56" spans="1:34" s="26" customFormat="1" ht="45" x14ac:dyDescent="0.25">
      <c r="A56" s="67">
        <v>45</v>
      </c>
      <c r="B56" s="82" t="s">
        <v>377</v>
      </c>
      <c r="C56" s="21" t="s">
        <v>434</v>
      </c>
      <c r="D56" s="22">
        <v>16249.999999999964</v>
      </c>
      <c r="E56" s="23" t="str">
        <f t="shared" si="4"/>
        <v>GUANAJUATO</v>
      </c>
      <c r="F56" s="23" t="str">
        <f t="shared" si="5"/>
        <v>SAN FELIPE</v>
      </c>
      <c r="G56" s="66" t="s">
        <v>608</v>
      </c>
      <c r="H56" s="81" t="s">
        <v>223</v>
      </c>
      <c r="I56" s="25">
        <v>2</v>
      </c>
      <c r="L56" s="27">
        <v>44757</v>
      </c>
      <c r="M56" s="28" t="s">
        <v>25</v>
      </c>
      <c r="P56" s="18" t="s">
        <v>330</v>
      </c>
      <c r="Q56" s="2" t="str">
        <f t="shared" si="0"/>
        <v>Imprimir</v>
      </c>
      <c r="R56" s="2" t="s">
        <v>333</v>
      </c>
      <c r="S56" s="2"/>
      <c r="T56" s="64"/>
      <c r="U56" s="18" t="s">
        <v>15</v>
      </c>
      <c r="V56" s="18" t="s">
        <v>15</v>
      </c>
      <c r="W56" s="18" t="str">
        <f t="shared" si="1"/>
        <v>CAP</v>
      </c>
      <c r="X56" s="18" t="str">
        <f t="shared" si="2"/>
        <v>. 45 - NC</v>
      </c>
      <c r="Y56" s="18"/>
      <c r="AA56" s="22">
        <v>0</v>
      </c>
      <c r="AB56" s="29" t="str">
        <f t="shared" si="3"/>
        <v>Cambió</v>
      </c>
      <c r="AC56" s="30" t="s">
        <v>39</v>
      </c>
      <c r="AD56" s="29" t="s">
        <v>33</v>
      </c>
      <c r="AE56" s="29" t="s">
        <v>33</v>
      </c>
      <c r="AF56" s="11" t="s">
        <v>72</v>
      </c>
      <c r="AG56" s="31"/>
      <c r="AH56" s="31"/>
    </row>
    <row r="57" spans="1:34" s="26" customFormat="1" ht="60" x14ac:dyDescent="0.25">
      <c r="A57" s="67">
        <v>46</v>
      </c>
      <c r="B57" s="82" t="s">
        <v>377</v>
      </c>
      <c r="C57" s="21" t="s">
        <v>435</v>
      </c>
      <c r="D57" s="22">
        <v>16249.999999999964</v>
      </c>
      <c r="E57" s="23" t="str">
        <f t="shared" si="4"/>
        <v>GUANAJUATO</v>
      </c>
      <c r="F57" s="23" t="str">
        <f t="shared" si="5"/>
        <v>SAN FELIPE</v>
      </c>
      <c r="G57" s="66" t="s">
        <v>356</v>
      </c>
      <c r="H57" s="81" t="s">
        <v>223</v>
      </c>
      <c r="I57" s="25">
        <v>2</v>
      </c>
      <c r="L57" s="27">
        <v>44757</v>
      </c>
      <c r="M57" s="28" t="s">
        <v>25</v>
      </c>
      <c r="P57" s="18" t="s">
        <v>330</v>
      </c>
      <c r="Q57" s="2" t="str">
        <f t="shared" si="0"/>
        <v>Imprimir</v>
      </c>
      <c r="R57" s="2" t="s">
        <v>333</v>
      </c>
      <c r="S57" s="2"/>
      <c r="T57" s="64"/>
      <c r="U57" s="18" t="s">
        <v>15</v>
      </c>
      <c r="V57" s="18" t="s">
        <v>15</v>
      </c>
      <c r="W57" s="18" t="str">
        <f t="shared" si="1"/>
        <v>CAP</v>
      </c>
      <c r="X57" s="18" t="str">
        <f t="shared" si="2"/>
        <v>. 46 - NC</v>
      </c>
      <c r="Y57" s="18"/>
      <c r="AA57" s="22">
        <v>0</v>
      </c>
      <c r="AB57" s="29" t="str">
        <f t="shared" si="3"/>
        <v>Cambió</v>
      </c>
      <c r="AC57" s="30" t="s">
        <v>37</v>
      </c>
      <c r="AD57" s="29" t="s">
        <v>33</v>
      </c>
      <c r="AE57" s="29" t="s">
        <v>33</v>
      </c>
      <c r="AF57" s="11" t="s">
        <v>72</v>
      </c>
      <c r="AG57" s="31"/>
      <c r="AH57" s="31"/>
    </row>
    <row r="58" spans="1:34" s="26" customFormat="1" ht="60" x14ac:dyDescent="0.25">
      <c r="A58" s="67">
        <v>47</v>
      </c>
      <c r="B58" s="82" t="s">
        <v>377</v>
      </c>
      <c r="C58" s="21" t="s">
        <v>436</v>
      </c>
      <c r="D58" s="22">
        <v>21734.999999999964</v>
      </c>
      <c r="E58" s="23" t="str">
        <f t="shared" si="4"/>
        <v>GUANAJUATO</v>
      </c>
      <c r="F58" s="23" t="str">
        <f t="shared" si="5"/>
        <v>SAN FELIPE</v>
      </c>
      <c r="G58" s="66" t="s">
        <v>393</v>
      </c>
      <c r="H58" s="81" t="s">
        <v>223</v>
      </c>
      <c r="I58" s="25">
        <v>2</v>
      </c>
      <c r="L58" s="27">
        <v>44757</v>
      </c>
      <c r="M58" s="28" t="s">
        <v>25</v>
      </c>
      <c r="P58" s="18" t="s">
        <v>330</v>
      </c>
      <c r="Q58" s="2" t="str">
        <f t="shared" si="0"/>
        <v>Imprimir</v>
      </c>
      <c r="R58" s="2" t="s">
        <v>333</v>
      </c>
      <c r="S58" s="2"/>
      <c r="T58" s="64"/>
      <c r="U58" s="18" t="s">
        <v>15</v>
      </c>
      <c r="V58" s="18" t="s">
        <v>15</v>
      </c>
      <c r="W58" s="18" t="str">
        <f t="shared" si="1"/>
        <v>CAP</v>
      </c>
      <c r="X58" s="18" t="str">
        <f t="shared" si="2"/>
        <v>. 47 - NC</v>
      </c>
      <c r="Y58" s="18"/>
      <c r="AA58" s="22">
        <v>0</v>
      </c>
      <c r="AB58" s="29" t="str">
        <f t="shared" si="3"/>
        <v>Cambió</v>
      </c>
      <c r="AC58" s="30" t="s">
        <v>39</v>
      </c>
      <c r="AD58" s="29" t="s">
        <v>33</v>
      </c>
      <c r="AE58" s="29" t="s">
        <v>33</v>
      </c>
      <c r="AF58" s="11" t="s">
        <v>72</v>
      </c>
      <c r="AG58" s="31"/>
      <c r="AH58" s="31"/>
    </row>
    <row r="59" spans="1:34" s="26" customFormat="1" ht="60" x14ac:dyDescent="0.25">
      <c r="A59" s="67">
        <v>48</v>
      </c>
      <c r="B59" s="82" t="s">
        <v>377</v>
      </c>
      <c r="C59" s="21" t="s">
        <v>437</v>
      </c>
      <c r="D59" s="22">
        <v>16249.999999999964</v>
      </c>
      <c r="E59" s="23" t="str">
        <f t="shared" si="4"/>
        <v>GUANAJUATO</v>
      </c>
      <c r="F59" s="23" t="str">
        <f t="shared" si="5"/>
        <v>SAN FELIPE</v>
      </c>
      <c r="G59" s="66" t="s">
        <v>621</v>
      </c>
      <c r="H59" s="81" t="s">
        <v>223</v>
      </c>
      <c r="I59" s="25">
        <v>2</v>
      </c>
      <c r="L59" s="27">
        <v>44788</v>
      </c>
      <c r="M59" s="28" t="s">
        <v>25</v>
      </c>
      <c r="P59" s="18" t="s">
        <v>330</v>
      </c>
      <c r="Q59" s="2" t="str">
        <f t="shared" si="0"/>
        <v>Imprimir</v>
      </c>
      <c r="R59" s="2" t="s">
        <v>333</v>
      </c>
      <c r="S59" s="2"/>
      <c r="T59" s="64"/>
      <c r="U59" s="18" t="s">
        <v>15</v>
      </c>
      <c r="V59" s="18" t="s">
        <v>15</v>
      </c>
      <c r="W59" s="18" t="str">
        <f t="shared" si="1"/>
        <v>CAP</v>
      </c>
      <c r="X59" s="18" t="str">
        <f t="shared" si="2"/>
        <v>. 48 - NC</v>
      </c>
      <c r="Y59" s="18"/>
      <c r="AA59" s="22">
        <v>0</v>
      </c>
      <c r="AB59" s="29" t="str">
        <f t="shared" si="3"/>
        <v>Cambió</v>
      </c>
      <c r="AC59" s="30" t="s">
        <v>37</v>
      </c>
      <c r="AD59" s="29" t="s">
        <v>33</v>
      </c>
      <c r="AE59" s="29" t="s">
        <v>33</v>
      </c>
      <c r="AF59" s="11" t="s">
        <v>72</v>
      </c>
      <c r="AG59" s="31"/>
      <c r="AH59" s="31"/>
    </row>
    <row r="60" spans="1:34" s="26" customFormat="1" ht="60" x14ac:dyDescent="0.25">
      <c r="A60" s="67">
        <v>49</v>
      </c>
      <c r="B60" s="82" t="s">
        <v>377</v>
      </c>
      <c r="C60" s="21" t="s">
        <v>438</v>
      </c>
      <c r="D60" s="22">
        <v>36224.999999999964</v>
      </c>
      <c r="E60" s="23" t="str">
        <f t="shared" si="4"/>
        <v>GUANAJUATO</v>
      </c>
      <c r="F60" s="23" t="str">
        <f t="shared" si="5"/>
        <v>SAN FELIPE</v>
      </c>
      <c r="G60" s="66" t="s">
        <v>370</v>
      </c>
      <c r="H60" s="81" t="s">
        <v>223</v>
      </c>
      <c r="I60" s="25">
        <v>2</v>
      </c>
      <c r="L60" s="27">
        <v>44788</v>
      </c>
      <c r="M60" s="28" t="s">
        <v>25</v>
      </c>
      <c r="P60" s="18" t="s">
        <v>330</v>
      </c>
      <c r="Q60" s="2" t="str">
        <f t="shared" si="0"/>
        <v>Imprimir</v>
      </c>
      <c r="R60" s="2" t="s">
        <v>333</v>
      </c>
      <c r="S60" s="2"/>
      <c r="T60" s="64"/>
      <c r="U60" s="18" t="s">
        <v>15</v>
      </c>
      <c r="V60" s="18" t="s">
        <v>15</v>
      </c>
      <c r="W60" s="18" t="str">
        <f t="shared" si="1"/>
        <v>CAP</v>
      </c>
      <c r="X60" s="18" t="str">
        <f t="shared" si="2"/>
        <v>. 49 - NC</v>
      </c>
      <c r="Y60" s="18"/>
      <c r="AA60" s="22">
        <v>0</v>
      </c>
      <c r="AB60" s="29" t="str">
        <f t="shared" si="3"/>
        <v>Cambió</v>
      </c>
      <c r="AC60" s="30" t="s">
        <v>36</v>
      </c>
      <c r="AD60" s="29" t="s">
        <v>33</v>
      </c>
      <c r="AE60" s="29" t="s">
        <v>33</v>
      </c>
      <c r="AF60" s="11" t="s">
        <v>72</v>
      </c>
      <c r="AG60" s="31"/>
      <c r="AH60" s="31"/>
    </row>
    <row r="61" spans="1:34" s="26" customFormat="1" ht="60" x14ac:dyDescent="0.25">
      <c r="A61" s="67">
        <v>50</v>
      </c>
      <c r="B61" s="82" t="s">
        <v>377</v>
      </c>
      <c r="C61" s="21" t="s">
        <v>401</v>
      </c>
      <c r="D61" s="22">
        <v>14489.999999999964</v>
      </c>
      <c r="E61" s="23" t="str">
        <f t="shared" si="4"/>
        <v>GUANAJUATO</v>
      </c>
      <c r="F61" s="23" t="str">
        <f t="shared" si="5"/>
        <v>SAN FELIPE</v>
      </c>
      <c r="G61" s="66" t="s">
        <v>611</v>
      </c>
      <c r="H61" s="81" t="s">
        <v>223</v>
      </c>
      <c r="I61" s="25">
        <v>2</v>
      </c>
      <c r="L61" s="27">
        <v>44788</v>
      </c>
      <c r="M61" s="28" t="s">
        <v>25</v>
      </c>
      <c r="P61" s="18" t="s">
        <v>330</v>
      </c>
      <c r="Q61" s="2" t="str">
        <f t="shared" si="0"/>
        <v>Imprimir</v>
      </c>
      <c r="R61" s="2" t="s">
        <v>333</v>
      </c>
      <c r="S61" s="2"/>
      <c r="T61" s="64"/>
      <c r="U61" s="18" t="s">
        <v>15</v>
      </c>
      <c r="V61" s="18" t="s">
        <v>15</v>
      </c>
      <c r="W61" s="18" t="str">
        <f t="shared" si="1"/>
        <v>CAP</v>
      </c>
      <c r="X61" s="18" t="str">
        <f t="shared" si="2"/>
        <v>. 50 - NC</v>
      </c>
      <c r="Y61" s="18"/>
      <c r="AA61" s="22">
        <v>0</v>
      </c>
      <c r="AB61" s="29" t="str">
        <f t="shared" si="3"/>
        <v>Cambió</v>
      </c>
      <c r="AC61" s="30" t="s">
        <v>36</v>
      </c>
      <c r="AD61" s="29" t="s">
        <v>33</v>
      </c>
      <c r="AE61" s="29" t="s">
        <v>33</v>
      </c>
      <c r="AF61" s="11" t="s">
        <v>72</v>
      </c>
      <c r="AG61" s="31"/>
      <c r="AH61" s="31"/>
    </row>
    <row r="62" spans="1:34" s="26" customFormat="1" ht="77.25" customHeight="1" x14ac:dyDescent="0.25">
      <c r="A62" s="67">
        <v>51</v>
      </c>
      <c r="B62" s="82" t="s">
        <v>377</v>
      </c>
      <c r="C62" s="21" t="s">
        <v>433</v>
      </c>
      <c r="D62" s="22">
        <v>16249.999999999964</v>
      </c>
      <c r="E62" s="23" t="str">
        <f t="shared" ref="E62" si="6">IF(D62&gt;0,"GUANAJUATO","")</f>
        <v>GUANAJUATO</v>
      </c>
      <c r="F62" s="23" t="str">
        <f t="shared" ref="F62" si="7">IF(D62&gt;0,"SAN FELIPE","")</f>
        <v>SAN FELIPE</v>
      </c>
      <c r="G62" s="78" t="s">
        <v>62</v>
      </c>
      <c r="H62" s="81" t="s">
        <v>223</v>
      </c>
      <c r="I62" s="25">
        <v>2</v>
      </c>
      <c r="L62" s="27">
        <v>44788</v>
      </c>
      <c r="M62" s="28" t="s">
        <v>25</v>
      </c>
      <c r="P62" s="18" t="s">
        <v>330</v>
      </c>
      <c r="Q62" s="2" t="str">
        <f t="shared" si="0"/>
        <v>Imprimir</v>
      </c>
      <c r="R62" s="2" t="s">
        <v>333</v>
      </c>
      <c r="S62" s="2"/>
      <c r="T62" s="64"/>
      <c r="U62" s="18" t="s">
        <v>15</v>
      </c>
      <c r="V62" s="18" t="s">
        <v>15</v>
      </c>
      <c r="W62" s="18" t="str">
        <f t="shared" ref="W62" si="8">IF(L62="","","CAP")</f>
        <v>CAP</v>
      </c>
      <c r="X62" s="18" t="str">
        <f t="shared" ref="X62" si="9">CONCATENATE($X$9,A62,$X$10,B62)</f>
        <v>. 51 - NC</v>
      </c>
      <c r="Y62" s="18"/>
      <c r="AA62" s="22">
        <v>0</v>
      </c>
      <c r="AB62" s="29" t="str">
        <f t="shared" ref="AB62" si="10">IF(D62&gt;0,IF(D62=AA62,"Sin Cambio","Cambió"),"")</f>
        <v>Cambió</v>
      </c>
      <c r="AC62" s="30" t="s">
        <v>36</v>
      </c>
      <c r="AD62" s="29" t="s">
        <v>33</v>
      </c>
      <c r="AE62" s="29" t="s">
        <v>33</v>
      </c>
      <c r="AF62" s="11" t="s">
        <v>72</v>
      </c>
      <c r="AG62" s="31"/>
      <c r="AH62" s="31"/>
    </row>
    <row r="63" spans="1:34" s="26" customFormat="1" ht="68.25" customHeight="1" x14ac:dyDescent="0.25">
      <c r="A63" s="67">
        <v>52</v>
      </c>
      <c r="B63" s="82" t="s">
        <v>377</v>
      </c>
      <c r="C63" s="21" t="s">
        <v>439</v>
      </c>
      <c r="D63" s="22">
        <v>16249.999999999964</v>
      </c>
      <c r="E63" s="23" t="str">
        <f t="shared" si="4"/>
        <v>GUANAJUATO</v>
      </c>
      <c r="F63" s="23" t="str">
        <f t="shared" si="5"/>
        <v>SAN FELIPE</v>
      </c>
      <c r="G63" s="66" t="s">
        <v>622</v>
      </c>
      <c r="H63" s="81" t="s">
        <v>223</v>
      </c>
      <c r="I63" s="25">
        <v>2</v>
      </c>
      <c r="L63" s="27">
        <v>44788</v>
      </c>
      <c r="M63" s="28" t="s">
        <v>25</v>
      </c>
      <c r="N63" s="47"/>
      <c r="O63" s="47"/>
      <c r="P63" s="77" t="s">
        <v>330</v>
      </c>
      <c r="Q63" s="2" t="str">
        <f t="shared" si="0"/>
        <v>Imprimir</v>
      </c>
      <c r="R63" s="2" t="s">
        <v>333</v>
      </c>
      <c r="S63" s="2"/>
      <c r="T63" s="64"/>
      <c r="U63" s="18" t="s">
        <v>15</v>
      </c>
      <c r="V63" s="18" t="s">
        <v>15</v>
      </c>
      <c r="W63" s="18" t="str">
        <f t="shared" si="1"/>
        <v>CAP</v>
      </c>
      <c r="X63" s="18" t="str">
        <f t="shared" si="2"/>
        <v>. 52 - NC</v>
      </c>
      <c r="Y63" s="18"/>
      <c r="AA63" s="22">
        <v>0</v>
      </c>
      <c r="AB63" s="29" t="str">
        <f t="shared" si="3"/>
        <v>Cambió</v>
      </c>
      <c r="AC63" s="30" t="s">
        <v>37</v>
      </c>
      <c r="AD63" s="29" t="s">
        <v>33</v>
      </c>
      <c r="AE63" s="29" t="s">
        <v>33</v>
      </c>
      <c r="AF63" s="11" t="s">
        <v>72</v>
      </c>
      <c r="AG63" s="31"/>
      <c r="AH63" s="31"/>
    </row>
    <row r="64" spans="1:34" s="26" customFormat="1" ht="60" x14ac:dyDescent="0.25">
      <c r="A64" s="67">
        <v>53</v>
      </c>
      <c r="B64" s="82" t="s">
        <v>377</v>
      </c>
      <c r="C64" s="21" t="s">
        <v>424</v>
      </c>
      <c r="D64" s="22">
        <v>36224.999999999964</v>
      </c>
      <c r="E64" s="23" t="str">
        <f>IF(D64&gt;0,"GUANAJUATO","")</f>
        <v>GUANAJUATO</v>
      </c>
      <c r="F64" s="23" t="str">
        <f>IF(D64&gt;0,"SAN FELIPE","")</f>
        <v>SAN FELIPE</v>
      </c>
      <c r="G64" s="66" t="s">
        <v>345</v>
      </c>
      <c r="H64" s="81" t="s">
        <v>223</v>
      </c>
      <c r="I64" s="25">
        <v>2</v>
      </c>
      <c r="L64" s="27">
        <v>44788</v>
      </c>
      <c r="M64" s="28" t="s">
        <v>25</v>
      </c>
      <c r="P64" s="18" t="s">
        <v>330</v>
      </c>
      <c r="Q64" s="2" t="str">
        <f t="shared" si="0"/>
        <v>Imprimir</v>
      </c>
      <c r="R64" s="2" t="s">
        <v>333</v>
      </c>
      <c r="S64" s="2"/>
      <c r="T64" s="64"/>
      <c r="U64" s="18" t="s">
        <v>15</v>
      </c>
      <c r="V64" s="18" t="s">
        <v>15</v>
      </c>
      <c r="W64" s="18" t="str">
        <f>IF(L64="","","CAP")</f>
        <v>CAP</v>
      </c>
      <c r="X64" s="18" t="str">
        <f>CONCATENATE($X$9,A64,$X$10,B64)</f>
        <v>. 53 - NC</v>
      </c>
      <c r="Y64" s="18"/>
      <c r="AA64" s="22">
        <v>0</v>
      </c>
      <c r="AB64" s="29" t="str">
        <f>IF(D64&gt;0,IF(D64=AA64,"Sin Cambio","Cambió"),"")</f>
        <v>Cambió</v>
      </c>
      <c r="AC64" s="30" t="s">
        <v>37</v>
      </c>
      <c r="AD64" s="29" t="s">
        <v>33</v>
      </c>
      <c r="AE64" s="29" t="s">
        <v>33</v>
      </c>
      <c r="AF64" s="11" t="s">
        <v>72</v>
      </c>
      <c r="AG64" s="31"/>
      <c r="AH64" s="31"/>
    </row>
    <row r="65" spans="1:34" s="26" customFormat="1" ht="81" customHeight="1" x14ac:dyDescent="0.25">
      <c r="A65" s="67">
        <v>54</v>
      </c>
      <c r="B65" s="82" t="s">
        <v>377</v>
      </c>
      <c r="C65" s="21" t="s">
        <v>425</v>
      </c>
      <c r="D65" s="22">
        <v>24374.999999999964</v>
      </c>
      <c r="E65" s="23" t="str">
        <f t="shared" si="4"/>
        <v>GUANAJUATO</v>
      </c>
      <c r="F65" s="23" t="str">
        <f t="shared" si="5"/>
        <v>SAN FELIPE</v>
      </c>
      <c r="G65" s="66" t="s">
        <v>345</v>
      </c>
      <c r="H65" s="81" t="s">
        <v>223</v>
      </c>
      <c r="I65" s="25">
        <v>2</v>
      </c>
      <c r="J65" s="32"/>
      <c r="L65" s="27">
        <v>44788</v>
      </c>
      <c r="M65" s="28" t="s">
        <v>25</v>
      </c>
      <c r="N65" s="47"/>
      <c r="O65" s="47"/>
      <c r="P65" s="77" t="s">
        <v>330</v>
      </c>
      <c r="Q65" s="2" t="str">
        <f t="shared" si="0"/>
        <v>Imprimir</v>
      </c>
      <c r="R65" s="2" t="s">
        <v>333</v>
      </c>
      <c r="S65" s="2"/>
      <c r="T65" s="64"/>
      <c r="U65" s="18" t="s">
        <v>15</v>
      </c>
      <c r="V65" s="18" t="s">
        <v>15</v>
      </c>
      <c r="W65" s="18" t="str">
        <f t="shared" si="1"/>
        <v>CAP</v>
      </c>
      <c r="X65" s="18" t="str">
        <f t="shared" si="2"/>
        <v>. 54 - NC</v>
      </c>
      <c r="Y65" s="18"/>
      <c r="AA65" s="22">
        <v>0</v>
      </c>
      <c r="AB65" s="29" t="str">
        <f t="shared" si="3"/>
        <v>Cambió</v>
      </c>
      <c r="AC65" s="30" t="s">
        <v>37</v>
      </c>
      <c r="AD65" s="29" t="s">
        <v>33</v>
      </c>
      <c r="AE65" s="29" t="s">
        <v>33</v>
      </c>
      <c r="AF65" s="11" t="s">
        <v>72</v>
      </c>
      <c r="AG65" s="31"/>
      <c r="AH65" s="31"/>
    </row>
    <row r="66" spans="1:34" s="26" customFormat="1" ht="93" customHeight="1" x14ac:dyDescent="0.25">
      <c r="A66" s="67">
        <v>55</v>
      </c>
      <c r="B66" s="82" t="s">
        <v>377</v>
      </c>
      <c r="C66" s="21" t="s">
        <v>440</v>
      </c>
      <c r="D66" s="22">
        <v>1500000</v>
      </c>
      <c r="E66" s="23" t="str">
        <f t="shared" ref="E66:E83" si="11">IF(D66&gt;0,"GUANAJUATO","")</f>
        <v>GUANAJUATO</v>
      </c>
      <c r="F66" s="23" t="str">
        <f t="shared" ref="F66:F83" si="12">IF(D66&gt;0,"SAN FELIPE","")</f>
        <v>SAN FELIPE</v>
      </c>
      <c r="G66" s="66" t="s">
        <v>623</v>
      </c>
      <c r="H66" s="81" t="s">
        <v>223</v>
      </c>
      <c r="I66" s="25">
        <v>417</v>
      </c>
      <c r="J66" s="32"/>
      <c r="L66" s="27">
        <v>44788</v>
      </c>
      <c r="M66" s="28" t="s">
        <v>25</v>
      </c>
      <c r="N66" s="47"/>
      <c r="O66" s="47"/>
      <c r="P66" s="77" t="s">
        <v>330</v>
      </c>
      <c r="Q66" s="2" t="str">
        <f t="shared" si="0"/>
        <v>Imprimir</v>
      </c>
      <c r="R66" s="2" t="s">
        <v>333</v>
      </c>
      <c r="S66" s="2">
        <v>113</v>
      </c>
      <c r="T66" s="64">
        <v>22</v>
      </c>
      <c r="U66" s="18" t="s">
        <v>15</v>
      </c>
      <c r="V66" s="18" t="s">
        <v>15</v>
      </c>
      <c r="W66" s="18" t="str">
        <f t="shared" ref="W66:W83" si="13">IF(L66="","","CAP")</f>
        <v>CAP</v>
      </c>
      <c r="X66" s="18" t="str">
        <f t="shared" ref="X66:X83" si="14">CONCATENATE($X$9,A66,$X$10,B66)</f>
        <v>. 55 - NC</v>
      </c>
      <c r="Y66" s="18"/>
      <c r="AA66" s="22">
        <v>0</v>
      </c>
      <c r="AB66" s="29" t="str">
        <f t="shared" ref="AB66:AB83" si="15">IF(D66&gt;0,IF(D66=AA66,"Sin Cambio","Cambió"),"")</f>
        <v>Cambió</v>
      </c>
      <c r="AC66" s="30" t="s">
        <v>37</v>
      </c>
      <c r="AD66" s="29" t="s">
        <v>33</v>
      </c>
      <c r="AE66" s="29" t="s">
        <v>33</v>
      </c>
      <c r="AF66" s="11" t="s">
        <v>72</v>
      </c>
      <c r="AG66" s="31"/>
      <c r="AH66" s="31"/>
    </row>
    <row r="67" spans="1:34" s="26" customFormat="1" ht="93" customHeight="1" x14ac:dyDescent="0.25">
      <c r="A67" s="67">
        <v>56</v>
      </c>
      <c r="B67" s="82" t="s">
        <v>377</v>
      </c>
      <c r="C67" s="21" t="s">
        <v>441</v>
      </c>
      <c r="D67" s="22">
        <v>520915.27</v>
      </c>
      <c r="E67" s="23" t="str">
        <f t="shared" si="11"/>
        <v>GUANAJUATO</v>
      </c>
      <c r="F67" s="23" t="str">
        <f t="shared" si="12"/>
        <v>SAN FELIPE</v>
      </c>
      <c r="G67" s="78" t="s">
        <v>47</v>
      </c>
      <c r="H67" s="81" t="str">
        <f t="shared" ref="H67" si="16">J67&amp;"
 CUARTO DORMITORIO (S)"</f>
        <v>5
 CUARTO DORMITORIO (S)</v>
      </c>
      <c r="I67" s="25">
        <f t="shared" ref="I67" si="17">J67*5</f>
        <v>25</v>
      </c>
      <c r="J67" s="32">
        <f t="shared" ref="J67:J84" si="18">ROUND(D67/104391.4,0)</f>
        <v>5</v>
      </c>
      <c r="L67" s="27">
        <v>44788</v>
      </c>
      <c r="M67" s="28" t="s">
        <v>25</v>
      </c>
      <c r="N67" s="47"/>
      <c r="O67" s="47"/>
      <c r="P67" s="77" t="s">
        <v>330</v>
      </c>
      <c r="Q67" s="2" t="str">
        <f t="shared" si="0"/>
        <v>Imprimir</v>
      </c>
      <c r="R67" s="2" t="s">
        <v>333</v>
      </c>
      <c r="S67" s="2">
        <v>113</v>
      </c>
      <c r="T67" s="64">
        <v>39</v>
      </c>
      <c r="U67" s="18" t="s">
        <v>15</v>
      </c>
      <c r="V67" s="18" t="s">
        <v>15</v>
      </c>
      <c r="W67" s="18" t="str">
        <f t="shared" si="13"/>
        <v>CAP</v>
      </c>
      <c r="X67" s="18" t="str">
        <f t="shared" si="14"/>
        <v>. 56 - NC</v>
      </c>
      <c r="Y67" s="18"/>
      <c r="AA67" s="22">
        <v>0</v>
      </c>
      <c r="AB67" s="29" t="str">
        <f t="shared" si="15"/>
        <v>Cambió</v>
      </c>
      <c r="AC67" s="30" t="s">
        <v>37</v>
      </c>
      <c r="AD67" s="29" t="s">
        <v>33</v>
      </c>
      <c r="AE67" s="29" t="s">
        <v>33</v>
      </c>
      <c r="AF67" s="11" t="s">
        <v>72</v>
      </c>
      <c r="AG67" s="31"/>
      <c r="AH67" s="31"/>
    </row>
    <row r="68" spans="1:34" s="26" customFormat="1" ht="93" customHeight="1" x14ac:dyDescent="0.25">
      <c r="A68" s="67">
        <v>57</v>
      </c>
      <c r="B68" s="82" t="s">
        <v>377</v>
      </c>
      <c r="C68" s="21" t="s">
        <v>442</v>
      </c>
      <c r="D68" s="22">
        <v>104183.06</v>
      </c>
      <c r="E68" s="23" t="str">
        <f t="shared" si="11"/>
        <v>GUANAJUATO</v>
      </c>
      <c r="F68" s="23" t="str">
        <f t="shared" si="12"/>
        <v>SAN FELIPE</v>
      </c>
      <c r="G68" s="66" t="s">
        <v>12</v>
      </c>
      <c r="H68" s="81" t="str">
        <f t="shared" ref="H68:H84" si="19">J68&amp;"
 CUARTO DORMITORIO (S)"</f>
        <v>1
 CUARTO DORMITORIO (S)</v>
      </c>
      <c r="I68" s="25">
        <f t="shared" ref="I68:I85" si="20">J68*5</f>
        <v>5</v>
      </c>
      <c r="J68" s="32">
        <f t="shared" si="18"/>
        <v>1</v>
      </c>
      <c r="L68" s="27">
        <v>44788</v>
      </c>
      <c r="M68" s="28" t="s">
        <v>25</v>
      </c>
      <c r="N68" s="47"/>
      <c r="O68" s="47"/>
      <c r="P68" s="77" t="s">
        <v>330</v>
      </c>
      <c r="Q68" s="2" t="str">
        <f t="shared" si="0"/>
        <v>Imprimir</v>
      </c>
      <c r="R68" s="2" t="s">
        <v>333</v>
      </c>
      <c r="S68" s="2">
        <v>113</v>
      </c>
      <c r="T68" s="64">
        <v>18</v>
      </c>
      <c r="U68" s="18" t="s">
        <v>15</v>
      </c>
      <c r="V68" s="18" t="s">
        <v>15</v>
      </c>
      <c r="W68" s="18" t="str">
        <f t="shared" si="13"/>
        <v>CAP</v>
      </c>
      <c r="X68" s="18" t="str">
        <f t="shared" si="14"/>
        <v>. 57 - NC</v>
      </c>
      <c r="Y68" s="18"/>
      <c r="AA68" s="22">
        <v>0</v>
      </c>
      <c r="AB68" s="29" t="str">
        <f t="shared" si="15"/>
        <v>Cambió</v>
      </c>
      <c r="AC68" s="30" t="s">
        <v>37</v>
      </c>
      <c r="AD68" s="29" t="s">
        <v>33</v>
      </c>
      <c r="AE68" s="29" t="s">
        <v>33</v>
      </c>
      <c r="AF68" s="11" t="s">
        <v>72</v>
      </c>
      <c r="AG68" s="31"/>
      <c r="AH68" s="31"/>
    </row>
    <row r="69" spans="1:34" s="26" customFormat="1" ht="93" customHeight="1" x14ac:dyDescent="0.25">
      <c r="A69" s="67">
        <v>58</v>
      </c>
      <c r="B69" s="82" t="s">
        <v>377</v>
      </c>
      <c r="C69" s="21" t="s">
        <v>443</v>
      </c>
      <c r="D69" s="22">
        <v>104183.06</v>
      </c>
      <c r="E69" s="23" t="str">
        <f t="shared" si="11"/>
        <v>GUANAJUATO</v>
      </c>
      <c r="F69" s="23" t="str">
        <f t="shared" si="12"/>
        <v>SAN FELIPE</v>
      </c>
      <c r="G69" s="66" t="s">
        <v>12</v>
      </c>
      <c r="H69" s="81" t="str">
        <f t="shared" si="19"/>
        <v>1
 CUARTO DORMITORIO (S)</v>
      </c>
      <c r="I69" s="25">
        <f t="shared" si="20"/>
        <v>5</v>
      </c>
      <c r="J69" s="32">
        <f t="shared" si="18"/>
        <v>1</v>
      </c>
      <c r="L69" s="27">
        <v>44788</v>
      </c>
      <c r="M69" s="28" t="s">
        <v>25</v>
      </c>
      <c r="N69" s="47"/>
      <c r="O69" s="47"/>
      <c r="P69" s="77"/>
      <c r="Q69" s="2" t="str">
        <f t="shared" si="0"/>
        <v>Imprimir</v>
      </c>
      <c r="R69" s="2" t="s">
        <v>333</v>
      </c>
      <c r="S69" s="2">
        <v>113</v>
      </c>
      <c r="T69" s="64">
        <v>24</v>
      </c>
      <c r="U69" s="18" t="s">
        <v>15</v>
      </c>
      <c r="V69" s="18" t="s">
        <v>15</v>
      </c>
      <c r="W69" s="18" t="str">
        <f t="shared" si="13"/>
        <v>CAP</v>
      </c>
      <c r="X69" s="18" t="str">
        <f t="shared" si="14"/>
        <v>. 58 - NC</v>
      </c>
      <c r="Y69" s="18"/>
      <c r="AA69" s="22">
        <v>0</v>
      </c>
      <c r="AB69" s="29" t="str">
        <f t="shared" si="15"/>
        <v>Cambió</v>
      </c>
      <c r="AC69" s="30" t="s">
        <v>37</v>
      </c>
      <c r="AD69" s="29" t="s">
        <v>33</v>
      </c>
      <c r="AE69" s="29" t="s">
        <v>33</v>
      </c>
      <c r="AF69" s="11" t="s">
        <v>72</v>
      </c>
      <c r="AG69" s="31"/>
      <c r="AH69" s="31"/>
    </row>
    <row r="70" spans="1:34" s="26" customFormat="1" ht="93" customHeight="1" x14ac:dyDescent="0.25">
      <c r="A70" s="67">
        <v>59</v>
      </c>
      <c r="B70" s="82" t="s">
        <v>377</v>
      </c>
      <c r="C70" s="21" t="s">
        <v>444</v>
      </c>
      <c r="D70" s="22">
        <v>104183.06</v>
      </c>
      <c r="E70" s="23" t="str">
        <f t="shared" si="11"/>
        <v>GUANAJUATO</v>
      </c>
      <c r="F70" s="23" t="str">
        <f t="shared" si="12"/>
        <v>SAN FELIPE</v>
      </c>
      <c r="G70" s="66" t="s">
        <v>12</v>
      </c>
      <c r="H70" s="81" t="str">
        <f t="shared" si="19"/>
        <v>1
 CUARTO DORMITORIO (S)</v>
      </c>
      <c r="I70" s="25">
        <f t="shared" si="20"/>
        <v>5</v>
      </c>
      <c r="J70" s="32">
        <f t="shared" si="18"/>
        <v>1</v>
      </c>
      <c r="L70" s="27">
        <v>44788</v>
      </c>
      <c r="M70" s="28" t="s">
        <v>25</v>
      </c>
      <c r="N70" s="47"/>
      <c r="O70" s="47"/>
      <c r="P70" s="77"/>
      <c r="Q70" s="2" t="str">
        <f t="shared" si="0"/>
        <v>Imprimir</v>
      </c>
      <c r="R70" s="2" t="s">
        <v>333</v>
      </c>
      <c r="S70" s="2">
        <v>113</v>
      </c>
      <c r="T70" s="64">
        <v>41</v>
      </c>
      <c r="U70" s="18" t="s">
        <v>15</v>
      </c>
      <c r="V70" s="18" t="s">
        <v>15</v>
      </c>
      <c r="W70" s="18" t="str">
        <f t="shared" si="13"/>
        <v>CAP</v>
      </c>
      <c r="X70" s="18" t="str">
        <f t="shared" si="14"/>
        <v>. 59 - NC</v>
      </c>
      <c r="Y70" s="18"/>
      <c r="AA70" s="22">
        <v>0</v>
      </c>
      <c r="AB70" s="29" t="str">
        <f t="shared" si="15"/>
        <v>Cambió</v>
      </c>
      <c r="AC70" s="30" t="s">
        <v>37</v>
      </c>
      <c r="AD70" s="29" t="s">
        <v>33</v>
      </c>
      <c r="AE70" s="29" t="s">
        <v>33</v>
      </c>
      <c r="AF70" s="11" t="s">
        <v>72</v>
      </c>
      <c r="AG70" s="31"/>
      <c r="AH70" s="31"/>
    </row>
    <row r="71" spans="1:34" s="26" customFormat="1" ht="93" customHeight="1" x14ac:dyDescent="0.25">
      <c r="A71" s="67">
        <v>60</v>
      </c>
      <c r="B71" s="82" t="s">
        <v>377</v>
      </c>
      <c r="C71" s="21" t="s">
        <v>445</v>
      </c>
      <c r="D71" s="22">
        <v>312549.17</v>
      </c>
      <c r="E71" s="23" t="str">
        <f t="shared" si="11"/>
        <v>GUANAJUATO</v>
      </c>
      <c r="F71" s="23" t="str">
        <f t="shared" si="12"/>
        <v>SAN FELIPE</v>
      </c>
      <c r="G71" s="66" t="s">
        <v>12</v>
      </c>
      <c r="H71" s="81" t="str">
        <f t="shared" si="19"/>
        <v>3
 CUARTO DORMITORIO (S)</v>
      </c>
      <c r="I71" s="25">
        <f t="shared" si="20"/>
        <v>15</v>
      </c>
      <c r="J71" s="32">
        <f t="shared" si="18"/>
        <v>3</v>
      </c>
      <c r="L71" s="27">
        <v>44788</v>
      </c>
      <c r="M71" s="28" t="s">
        <v>25</v>
      </c>
      <c r="N71" s="47"/>
      <c r="O71" s="47"/>
      <c r="P71" s="77"/>
      <c r="Q71" s="2" t="str">
        <f t="shared" si="0"/>
        <v>Imprimir</v>
      </c>
      <c r="R71" s="2" t="s">
        <v>333</v>
      </c>
      <c r="S71" s="2">
        <v>113</v>
      </c>
      <c r="T71" s="64">
        <v>8</v>
      </c>
      <c r="U71" s="18" t="s">
        <v>15</v>
      </c>
      <c r="V71" s="18" t="s">
        <v>15</v>
      </c>
      <c r="W71" s="18" t="str">
        <f t="shared" si="13"/>
        <v>CAP</v>
      </c>
      <c r="X71" s="18" t="str">
        <f t="shared" si="14"/>
        <v>. 60 - NC</v>
      </c>
      <c r="Y71" s="18"/>
      <c r="AA71" s="22">
        <v>0</v>
      </c>
      <c r="AB71" s="29" t="str">
        <f t="shared" si="15"/>
        <v>Cambió</v>
      </c>
      <c r="AC71" s="30" t="s">
        <v>37</v>
      </c>
      <c r="AD71" s="29" t="s">
        <v>33</v>
      </c>
      <c r="AE71" s="29" t="s">
        <v>33</v>
      </c>
      <c r="AF71" s="11" t="s">
        <v>72</v>
      </c>
      <c r="AG71" s="31"/>
      <c r="AH71" s="31"/>
    </row>
    <row r="72" spans="1:34" s="26" customFormat="1" ht="93" customHeight="1" x14ac:dyDescent="0.25">
      <c r="A72" s="67">
        <v>61</v>
      </c>
      <c r="B72" s="82" t="s">
        <v>377</v>
      </c>
      <c r="C72" s="21" t="s">
        <v>446</v>
      </c>
      <c r="D72" s="22">
        <v>104183.06</v>
      </c>
      <c r="E72" s="23" t="str">
        <f t="shared" si="11"/>
        <v>GUANAJUATO</v>
      </c>
      <c r="F72" s="23" t="str">
        <f t="shared" si="12"/>
        <v>SAN FELIPE</v>
      </c>
      <c r="G72" s="66" t="s">
        <v>12</v>
      </c>
      <c r="H72" s="81" t="str">
        <f t="shared" si="19"/>
        <v>1
 CUARTO DORMITORIO (S)</v>
      </c>
      <c r="I72" s="25">
        <f t="shared" si="20"/>
        <v>5</v>
      </c>
      <c r="J72" s="32">
        <f t="shared" si="18"/>
        <v>1</v>
      </c>
      <c r="L72" s="27">
        <v>44788</v>
      </c>
      <c r="M72" s="28" t="s">
        <v>25</v>
      </c>
      <c r="N72" s="47"/>
      <c r="O72" s="47"/>
      <c r="P72" s="77"/>
      <c r="Q72" s="2" t="str">
        <f t="shared" si="0"/>
        <v>Imprimir</v>
      </c>
      <c r="R72" s="2" t="s">
        <v>333</v>
      </c>
      <c r="S72" s="2">
        <v>113</v>
      </c>
      <c r="T72" s="64">
        <v>24</v>
      </c>
      <c r="U72" s="18" t="s">
        <v>15</v>
      </c>
      <c r="V72" s="18" t="s">
        <v>15</v>
      </c>
      <c r="W72" s="18" t="str">
        <f t="shared" si="13"/>
        <v>CAP</v>
      </c>
      <c r="X72" s="18" t="str">
        <f t="shared" si="14"/>
        <v>. 61 - NC</v>
      </c>
      <c r="Y72" s="18"/>
      <c r="AA72" s="22">
        <v>0</v>
      </c>
      <c r="AB72" s="29" t="str">
        <f t="shared" si="15"/>
        <v>Cambió</v>
      </c>
      <c r="AC72" s="30" t="s">
        <v>37</v>
      </c>
      <c r="AD72" s="29" t="s">
        <v>33</v>
      </c>
      <c r="AE72" s="29" t="s">
        <v>33</v>
      </c>
      <c r="AF72" s="11" t="s">
        <v>72</v>
      </c>
      <c r="AG72" s="31"/>
      <c r="AH72" s="31"/>
    </row>
    <row r="73" spans="1:34" s="26" customFormat="1" ht="93" customHeight="1" x14ac:dyDescent="0.25">
      <c r="A73" s="67">
        <v>62</v>
      </c>
      <c r="B73" s="82" t="s">
        <v>377</v>
      </c>
      <c r="C73" s="21" t="s">
        <v>289</v>
      </c>
      <c r="D73" s="22">
        <v>104183.06</v>
      </c>
      <c r="E73" s="23" t="str">
        <f t="shared" si="11"/>
        <v>GUANAJUATO</v>
      </c>
      <c r="F73" s="23" t="str">
        <f t="shared" si="12"/>
        <v>SAN FELIPE</v>
      </c>
      <c r="G73" s="66" t="s">
        <v>12</v>
      </c>
      <c r="H73" s="81" t="str">
        <f t="shared" si="19"/>
        <v>1
 CUARTO DORMITORIO (S)</v>
      </c>
      <c r="I73" s="25">
        <f t="shared" si="20"/>
        <v>5</v>
      </c>
      <c r="J73" s="32">
        <f t="shared" si="18"/>
        <v>1</v>
      </c>
      <c r="L73" s="27">
        <v>44788</v>
      </c>
      <c r="M73" s="28" t="s">
        <v>25</v>
      </c>
      <c r="N73" s="47"/>
      <c r="O73" s="47"/>
      <c r="P73" s="77"/>
      <c r="Q73" s="2" t="str">
        <f t="shared" si="0"/>
        <v>Imprimir</v>
      </c>
      <c r="R73" s="2" t="s">
        <v>333</v>
      </c>
      <c r="S73" s="2">
        <v>113</v>
      </c>
      <c r="T73" s="64">
        <v>7</v>
      </c>
      <c r="U73" s="18" t="s">
        <v>15</v>
      </c>
      <c r="V73" s="18" t="s">
        <v>15</v>
      </c>
      <c r="W73" s="18" t="str">
        <f t="shared" si="13"/>
        <v>CAP</v>
      </c>
      <c r="X73" s="18" t="str">
        <f t="shared" si="14"/>
        <v>. 62 - NC</v>
      </c>
      <c r="Y73" s="18"/>
      <c r="AA73" s="22">
        <v>0</v>
      </c>
      <c r="AB73" s="29" t="str">
        <f t="shared" si="15"/>
        <v>Cambió</v>
      </c>
      <c r="AC73" s="30" t="s">
        <v>37</v>
      </c>
      <c r="AD73" s="29" t="s">
        <v>33</v>
      </c>
      <c r="AE73" s="29" t="s">
        <v>33</v>
      </c>
      <c r="AF73" s="11" t="s">
        <v>72</v>
      </c>
      <c r="AG73" s="31"/>
      <c r="AH73" s="31"/>
    </row>
    <row r="74" spans="1:34" s="26" customFormat="1" ht="93" customHeight="1" x14ac:dyDescent="0.25">
      <c r="A74" s="67">
        <v>63</v>
      </c>
      <c r="B74" s="82" t="s">
        <v>377</v>
      </c>
      <c r="C74" s="21" t="s">
        <v>447</v>
      </c>
      <c r="D74" s="22">
        <v>208366.12</v>
      </c>
      <c r="E74" s="23" t="str">
        <f t="shared" si="11"/>
        <v>GUANAJUATO</v>
      </c>
      <c r="F74" s="23" t="str">
        <f t="shared" si="12"/>
        <v>SAN FELIPE</v>
      </c>
      <c r="G74" s="66" t="s">
        <v>361</v>
      </c>
      <c r="H74" s="81" t="str">
        <f t="shared" si="19"/>
        <v>2
 CUARTO DORMITORIO (S)</v>
      </c>
      <c r="I74" s="25">
        <f t="shared" si="20"/>
        <v>10</v>
      </c>
      <c r="J74" s="32">
        <f t="shared" si="18"/>
        <v>2</v>
      </c>
      <c r="L74" s="27">
        <v>44788</v>
      </c>
      <c r="M74" s="28" t="s">
        <v>25</v>
      </c>
      <c r="N74" s="47"/>
      <c r="O74" s="47"/>
      <c r="P74" s="77"/>
      <c r="Q74" s="2" t="str">
        <f t="shared" si="0"/>
        <v>Imprimir</v>
      </c>
      <c r="R74" s="2" t="s">
        <v>333</v>
      </c>
      <c r="S74" s="2">
        <v>113</v>
      </c>
      <c r="T74" s="64">
        <v>33</v>
      </c>
      <c r="U74" s="18" t="s">
        <v>15</v>
      </c>
      <c r="V74" s="18" t="s">
        <v>15</v>
      </c>
      <c r="W74" s="18" t="str">
        <f t="shared" si="13"/>
        <v>CAP</v>
      </c>
      <c r="X74" s="18" t="str">
        <f t="shared" si="14"/>
        <v>. 63 - NC</v>
      </c>
      <c r="Y74" s="18"/>
      <c r="AA74" s="22">
        <v>0</v>
      </c>
      <c r="AB74" s="29" t="str">
        <f t="shared" si="15"/>
        <v>Cambió</v>
      </c>
      <c r="AC74" s="30" t="s">
        <v>37</v>
      </c>
      <c r="AD74" s="29" t="s">
        <v>33</v>
      </c>
      <c r="AE74" s="29" t="s">
        <v>33</v>
      </c>
      <c r="AF74" s="11" t="s">
        <v>72</v>
      </c>
      <c r="AG74" s="31"/>
      <c r="AH74" s="31"/>
    </row>
    <row r="75" spans="1:34" s="26" customFormat="1" ht="93" customHeight="1" x14ac:dyDescent="0.25">
      <c r="A75" s="67">
        <v>64</v>
      </c>
      <c r="B75" s="82" t="s">
        <v>377</v>
      </c>
      <c r="C75" s="21" t="s">
        <v>290</v>
      </c>
      <c r="D75" s="22">
        <v>312549.17</v>
      </c>
      <c r="E75" s="23" t="str">
        <f t="shared" si="11"/>
        <v>GUANAJUATO</v>
      </c>
      <c r="F75" s="23" t="str">
        <f t="shared" si="12"/>
        <v>SAN FELIPE</v>
      </c>
      <c r="G75" s="66" t="s">
        <v>363</v>
      </c>
      <c r="H75" s="81" t="str">
        <f t="shared" si="19"/>
        <v>3
 CUARTO DORMITORIO (S)</v>
      </c>
      <c r="I75" s="25">
        <f t="shared" si="20"/>
        <v>15</v>
      </c>
      <c r="J75" s="32">
        <f t="shared" si="18"/>
        <v>3</v>
      </c>
      <c r="L75" s="27">
        <v>44788</v>
      </c>
      <c r="M75" s="28" t="s">
        <v>25</v>
      </c>
      <c r="N75" s="47"/>
      <c r="O75" s="47"/>
      <c r="P75" s="77"/>
      <c r="Q75" s="2" t="str">
        <f t="shared" ref="Q75:Q90" si="21">IF(C75&lt;&gt;0,"Imprimir","")</f>
        <v>Imprimir</v>
      </c>
      <c r="R75" s="2" t="s">
        <v>333</v>
      </c>
      <c r="S75" s="2">
        <v>113</v>
      </c>
      <c r="T75" s="64">
        <v>10</v>
      </c>
      <c r="U75" s="18" t="s">
        <v>15</v>
      </c>
      <c r="V75" s="18" t="s">
        <v>15</v>
      </c>
      <c r="W75" s="18" t="str">
        <f t="shared" si="13"/>
        <v>CAP</v>
      </c>
      <c r="X75" s="18" t="str">
        <f t="shared" si="14"/>
        <v>. 64 - NC</v>
      </c>
      <c r="Y75" s="18"/>
      <c r="AA75" s="22">
        <v>0</v>
      </c>
      <c r="AB75" s="29" t="str">
        <f t="shared" si="15"/>
        <v>Cambió</v>
      </c>
      <c r="AC75" s="30" t="s">
        <v>37</v>
      </c>
      <c r="AD75" s="29" t="s">
        <v>33</v>
      </c>
      <c r="AE75" s="29" t="s">
        <v>33</v>
      </c>
      <c r="AF75" s="11" t="s">
        <v>72</v>
      </c>
      <c r="AG75" s="31"/>
      <c r="AH75" s="31"/>
    </row>
    <row r="76" spans="1:34" s="26" customFormat="1" ht="93" customHeight="1" x14ac:dyDescent="0.25">
      <c r="A76" s="67">
        <v>65</v>
      </c>
      <c r="B76" s="82" t="s">
        <v>377</v>
      </c>
      <c r="C76" s="21" t="s">
        <v>448</v>
      </c>
      <c r="D76" s="22">
        <v>104183.06</v>
      </c>
      <c r="E76" s="23" t="str">
        <f t="shared" si="11"/>
        <v>GUANAJUATO</v>
      </c>
      <c r="F76" s="23" t="str">
        <f t="shared" si="12"/>
        <v>SAN FELIPE</v>
      </c>
      <c r="G76" s="78" t="s">
        <v>336</v>
      </c>
      <c r="H76" s="81" t="str">
        <f t="shared" si="19"/>
        <v>1
 CUARTO DORMITORIO (S)</v>
      </c>
      <c r="I76" s="25">
        <f t="shared" si="20"/>
        <v>5</v>
      </c>
      <c r="J76" s="32">
        <f t="shared" si="18"/>
        <v>1</v>
      </c>
      <c r="L76" s="27">
        <v>44788</v>
      </c>
      <c r="M76" s="28" t="s">
        <v>25</v>
      </c>
      <c r="N76" s="47"/>
      <c r="O76" s="47"/>
      <c r="P76" s="77"/>
      <c r="Q76" s="2" t="str">
        <f t="shared" si="21"/>
        <v>Imprimir</v>
      </c>
      <c r="R76" s="2" t="s">
        <v>333</v>
      </c>
      <c r="S76" s="2">
        <v>113</v>
      </c>
      <c r="T76" s="64">
        <v>27</v>
      </c>
      <c r="U76" s="18" t="s">
        <v>15</v>
      </c>
      <c r="V76" s="18" t="s">
        <v>15</v>
      </c>
      <c r="W76" s="18" t="str">
        <f t="shared" si="13"/>
        <v>CAP</v>
      </c>
      <c r="X76" s="18" t="str">
        <f t="shared" si="14"/>
        <v>. 65 - NC</v>
      </c>
      <c r="Y76" s="18"/>
      <c r="AA76" s="22">
        <v>0</v>
      </c>
      <c r="AB76" s="29" t="str">
        <f t="shared" si="15"/>
        <v>Cambió</v>
      </c>
      <c r="AC76" s="30" t="s">
        <v>37</v>
      </c>
      <c r="AD76" s="29" t="s">
        <v>33</v>
      </c>
      <c r="AE76" s="29" t="s">
        <v>33</v>
      </c>
      <c r="AF76" s="11" t="s">
        <v>72</v>
      </c>
      <c r="AG76" s="31"/>
      <c r="AH76" s="31"/>
    </row>
    <row r="77" spans="1:34" s="26" customFormat="1" ht="93" customHeight="1" x14ac:dyDescent="0.25">
      <c r="A77" s="67">
        <v>66</v>
      </c>
      <c r="B77" s="82" t="s">
        <v>377</v>
      </c>
      <c r="C77" s="21" t="s">
        <v>292</v>
      </c>
      <c r="D77" s="22">
        <v>208366.12</v>
      </c>
      <c r="E77" s="23" t="str">
        <f t="shared" si="11"/>
        <v>GUANAJUATO</v>
      </c>
      <c r="F77" s="23" t="str">
        <f t="shared" si="12"/>
        <v>SAN FELIPE</v>
      </c>
      <c r="G77" s="66" t="s">
        <v>624</v>
      </c>
      <c r="H77" s="81" t="str">
        <f t="shared" si="19"/>
        <v>2
 CUARTO DORMITORIO (S)</v>
      </c>
      <c r="I77" s="25">
        <f t="shared" si="20"/>
        <v>10</v>
      </c>
      <c r="J77" s="32">
        <f t="shared" si="18"/>
        <v>2</v>
      </c>
      <c r="L77" s="27">
        <v>44788</v>
      </c>
      <c r="M77" s="28" t="s">
        <v>25</v>
      </c>
      <c r="N77" s="47"/>
      <c r="O77" s="47"/>
      <c r="P77" s="77"/>
      <c r="Q77" s="2" t="str">
        <f t="shared" si="21"/>
        <v>Imprimir</v>
      </c>
      <c r="R77" s="2" t="s">
        <v>333</v>
      </c>
      <c r="S77" s="2">
        <v>113</v>
      </c>
      <c r="T77" s="64">
        <v>5</v>
      </c>
      <c r="U77" s="18" t="s">
        <v>15</v>
      </c>
      <c r="V77" s="18" t="s">
        <v>15</v>
      </c>
      <c r="W77" s="18" t="str">
        <f t="shared" si="13"/>
        <v>CAP</v>
      </c>
      <c r="X77" s="18" t="str">
        <f t="shared" si="14"/>
        <v>. 66 - NC</v>
      </c>
      <c r="Y77" s="18"/>
      <c r="AA77" s="22">
        <v>0</v>
      </c>
      <c r="AB77" s="29" t="str">
        <f t="shared" si="15"/>
        <v>Cambió</v>
      </c>
      <c r="AC77" s="30" t="s">
        <v>37</v>
      </c>
      <c r="AD77" s="29" t="s">
        <v>33</v>
      </c>
      <c r="AE77" s="29" t="s">
        <v>33</v>
      </c>
      <c r="AF77" s="11" t="s">
        <v>72</v>
      </c>
      <c r="AG77" s="31"/>
      <c r="AH77" s="31"/>
    </row>
    <row r="78" spans="1:34" s="26" customFormat="1" ht="93" customHeight="1" x14ac:dyDescent="0.25">
      <c r="A78" s="67">
        <v>67</v>
      </c>
      <c r="B78" s="82" t="s">
        <v>377</v>
      </c>
      <c r="C78" s="21" t="s">
        <v>449</v>
      </c>
      <c r="D78" s="22">
        <v>104183.06</v>
      </c>
      <c r="E78" s="23" t="str">
        <f t="shared" si="11"/>
        <v>GUANAJUATO</v>
      </c>
      <c r="F78" s="23" t="str">
        <f t="shared" si="12"/>
        <v>SAN FELIPE</v>
      </c>
      <c r="G78" s="66" t="s">
        <v>625</v>
      </c>
      <c r="H78" s="81" t="str">
        <f t="shared" si="19"/>
        <v>1
 CUARTO DORMITORIO (S)</v>
      </c>
      <c r="I78" s="25">
        <f t="shared" si="20"/>
        <v>5</v>
      </c>
      <c r="J78" s="32">
        <f t="shared" si="18"/>
        <v>1</v>
      </c>
      <c r="L78" s="27">
        <v>44788</v>
      </c>
      <c r="M78" s="28" t="s">
        <v>25</v>
      </c>
      <c r="N78" s="47"/>
      <c r="O78" s="47"/>
      <c r="P78" s="77"/>
      <c r="Q78" s="2" t="str">
        <f t="shared" si="21"/>
        <v>Imprimir</v>
      </c>
      <c r="R78" s="2" t="s">
        <v>333</v>
      </c>
      <c r="S78" s="2">
        <v>113</v>
      </c>
      <c r="T78" s="64">
        <v>10</v>
      </c>
      <c r="U78" s="18" t="s">
        <v>15</v>
      </c>
      <c r="V78" s="18" t="s">
        <v>15</v>
      </c>
      <c r="W78" s="18" t="str">
        <f t="shared" si="13"/>
        <v>CAP</v>
      </c>
      <c r="X78" s="18" t="str">
        <f t="shared" si="14"/>
        <v>. 67 - NC</v>
      </c>
      <c r="Y78" s="18"/>
      <c r="AA78" s="22">
        <v>0</v>
      </c>
      <c r="AB78" s="29" t="str">
        <f t="shared" si="15"/>
        <v>Cambió</v>
      </c>
      <c r="AC78" s="30" t="s">
        <v>37</v>
      </c>
      <c r="AD78" s="29" t="s">
        <v>33</v>
      </c>
      <c r="AE78" s="29" t="s">
        <v>33</v>
      </c>
      <c r="AF78" s="11" t="s">
        <v>72</v>
      </c>
      <c r="AG78" s="31"/>
      <c r="AH78" s="31"/>
    </row>
    <row r="79" spans="1:34" s="26" customFormat="1" ht="93" customHeight="1" x14ac:dyDescent="0.25">
      <c r="A79" s="67">
        <v>68</v>
      </c>
      <c r="B79" s="82" t="s">
        <v>377</v>
      </c>
      <c r="C79" s="21" t="s">
        <v>450</v>
      </c>
      <c r="D79" s="22">
        <v>104183.06</v>
      </c>
      <c r="E79" s="23" t="str">
        <f t="shared" si="11"/>
        <v>GUANAJUATO</v>
      </c>
      <c r="F79" s="23" t="str">
        <f t="shared" si="12"/>
        <v>SAN FELIPE</v>
      </c>
      <c r="G79" s="66" t="s">
        <v>354</v>
      </c>
      <c r="H79" s="81" t="str">
        <f t="shared" si="19"/>
        <v>1
 CUARTO DORMITORIO (S)</v>
      </c>
      <c r="I79" s="25">
        <f t="shared" si="20"/>
        <v>5</v>
      </c>
      <c r="J79" s="32">
        <f t="shared" si="18"/>
        <v>1</v>
      </c>
      <c r="L79" s="27">
        <v>44788</v>
      </c>
      <c r="M79" s="28" t="s">
        <v>25</v>
      </c>
      <c r="N79" s="47"/>
      <c r="O79" s="47"/>
      <c r="P79" s="77"/>
      <c r="Q79" s="2" t="str">
        <f t="shared" si="21"/>
        <v>Imprimir</v>
      </c>
      <c r="R79" s="2" t="s">
        <v>333</v>
      </c>
      <c r="S79" s="2">
        <v>113</v>
      </c>
      <c r="T79" s="64">
        <v>13</v>
      </c>
      <c r="U79" s="18" t="s">
        <v>15</v>
      </c>
      <c r="V79" s="18" t="s">
        <v>15</v>
      </c>
      <c r="W79" s="18" t="str">
        <f t="shared" si="13"/>
        <v>CAP</v>
      </c>
      <c r="X79" s="18" t="str">
        <f t="shared" si="14"/>
        <v>. 68 - NC</v>
      </c>
      <c r="Y79" s="18"/>
      <c r="AA79" s="22">
        <v>0</v>
      </c>
      <c r="AB79" s="29" t="str">
        <f t="shared" si="15"/>
        <v>Cambió</v>
      </c>
      <c r="AC79" s="30" t="s">
        <v>37</v>
      </c>
      <c r="AD79" s="29" t="s">
        <v>33</v>
      </c>
      <c r="AE79" s="29" t="s">
        <v>33</v>
      </c>
      <c r="AF79" s="11" t="s">
        <v>72</v>
      </c>
      <c r="AG79" s="31"/>
      <c r="AH79" s="31"/>
    </row>
    <row r="80" spans="1:34" s="26" customFormat="1" ht="93" customHeight="1" x14ac:dyDescent="0.25">
      <c r="A80" s="67">
        <v>69</v>
      </c>
      <c r="B80" s="82" t="s">
        <v>377</v>
      </c>
      <c r="C80" s="21" t="s">
        <v>451</v>
      </c>
      <c r="D80" s="22">
        <v>312549.17</v>
      </c>
      <c r="E80" s="23" t="str">
        <f t="shared" si="11"/>
        <v>GUANAJUATO</v>
      </c>
      <c r="F80" s="23" t="str">
        <f t="shared" si="12"/>
        <v>SAN FELIPE</v>
      </c>
      <c r="G80" s="66" t="s">
        <v>626</v>
      </c>
      <c r="H80" s="81" t="str">
        <f t="shared" si="19"/>
        <v>3
 CUARTO DORMITORIO (S)</v>
      </c>
      <c r="I80" s="25">
        <f t="shared" si="20"/>
        <v>15</v>
      </c>
      <c r="J80" s="32">
        <f t="shared" si="18"/>
        <v>3</v>
      </c>
      <c r="L80" s="27">
        <v>44788</v>
      </c>
      <c r="M80" s="28" t="s">
        <v>25</v>
      </c>
      <c r="N80" s="47"/>
      <c r="O80" s="47"/>
      <c r="P80" s="77"/>
      <c r="Q80" s="2" t="str">
        <f t="shared" si="21"/>
        <v>Imprimir</v>
      </c>
      <c r="R80" s="2" t="s">
        <v>333</v>
      </c>
      <c r="S80" s="2">
        <v>113</v>
      </c>
      <c r="T80" s="64">
        <v>8</v>
      </c>
      <c r="U80" s="18" t="s">
        <v>15</v>
      </c>
      <c r="V80" s="18" t="s">
        <v>15</v>
      </c>
      <c r="W80" s="18" t="str">
        <f t="shared" si="13"/>
        <v>CAP</v>
      </c>
      <c r="X80" s="18" t="str">
        <f t="shared" si="14"/>
        <v>. 69 - NC</v>
      </c>
      <c r="Y80" s="18"/>
      <c r="AA80" s="22">
        <v>0</v>
      </c>
      <c r="AB80" s="29" t="str">
        <f t="shared" si="15"/>
        <v>Cambió</v>
      </c>
      <c r="AC80" s="30" t="s">
        <v>37</v>
      </c>
      <c r="AD80" s="29" t="s">
        <v>33</v>
      </c>
      <c r="AE80" s="29" t="s">
        <v>33</v>
      </c>
      <c r="AF80" s="11" t="s">
        <v>72</v>
      </c>
      <c r="AG80" s="31"/>
      <c r="AH80" s="31"/>
    </row>
    <row r="81" spans="1:34" s="26" customFormat="1" ht="93" customHeight="1" x14ac:dyDescent="0.25">
      <c r="A81" s="67">
        <v>70</v>
      </c>
      <c r="B81" s="82" t="s">
        <v>377</v>
      </c>
      <c r="C81" s="21" t="s">
        <v>452</v>
      </c>
      <c r="D81" s="22">
        <v>208366.12</v>
      </c>
      <c r="E81" s="23" t="str">
        <f t="shared" si="11"/>
        <v>GUANAJUATO</v>
      </c>
      <c r="F81" s="23" t="str">
        <f t="shared" si="12"/>
        <v>SAN FELIPE</v>
      </c>
      <c r="G81" s="66" t="s">
        <v>619</v>
      </c>
      <c r="H81" s="81" t="str">
        <f t="shared" si="19"/>
        <v>2
 CUARTO DORMITORIO (S)</v>
      </c>
      <c r="I81" s="25">
        <f t="shared" si="20"/>
        <v>10</v>
      </c>
      <c r="J81" s="32">
        <f t="shared" si="18"/>
        <v>2</v>
      </c>
      <c r="L81" s="27">
        <v>44788</v>
      </c>
      <c r="M81" s="28" t="s">
        <v>25</v>
      </c>
      <c r="N81" s="47"/>
      <c r="O81" s="47"/>
      <c r="P81" s="77"/>
      <c r="Q81" s="2" t="str">
        <f t="shared" si="21"/>
        <v>Imprimir</v>
      </c>
      <c r="R81" s="2" t="s">
        <v>333</v>
      </c>
      <c r="S81" s="2">
        <v>113</v>
      </c>
      <c r="T81" s="64">
        <v>14</v>
      </c>
      <c r="U81" s="18" t="s">
        <v>15</v>
      </c>
      <c r="V81" s="18" t="s">
        <v>15</v>
      </c>
      <c r="W81" s="18" t="str">
        <f t="shared" si="13"/>
        <v>CAP</v>
      </c>
      <c r="X81" s="18" t="str">
        <f t="shared" si="14"/>
        <v>. 70 - NC</v>
      </c>
      <c r="Y81" s="18"/>
      <c r="AA81" s="22">
        <v>0</v>
      </c>
      <c r="AB81" s="29" t="str">
        <f t="shared" si="15"/>
        <v>Cambió</v>
      </c>
      <c r="AC81" s="30" t="s">
        <v>37</v>
      </c>
      <c r="AD81" s="29" t="s">
        <v>33</v>
      </c>
      <c r="AE81" s="29" t="s">
        <v>33</v>
      </c>
      <c r="AF81" s="11" t="s">
        <v>72</v>
      </c>
      <c r="AG81" s="31"/>
      <c r="AH81" s="31"/>
    </row>
    <row r="82" spans="1:34" s="26" customFormat="1" ht="93" customHeight="1" x14ac:dyDescent="0.25">
      <c r="A82" s="67">
        <v>71</v>
      </c>
      <c r="B82" s="82" t="s">
        <v>377</v>
      </c>
      <c r="C82" s="21" t="s">
        <v>453</v>
      </c>
      <c r="D82" s="22">
        <v>312549.17</v>
      </c>
      <c r="E82" s="23" t="str">
        <f t="shared" si="11"/>
        <v>GUANAJUATO</v>
      </c>
      <c r="F82" s="23" t="str">
        <f t="shared" si="12"/>
        <v>SAN FELIPE</v>
      </c>
      <c r="G82" s="66" t="s">
        <v>627</v>
      </c>
      <c r="H82" s="81" t="str">
        <f t="shared" si="19"/>
        <v>3
 CUARTO DORMITORIO (S)</v>
      </c>
      <c r="I82" s="25">
        <f t="shared" si="20"/>
        <v>15</v>
      </c>
      <c r="J82" s="32">
        <f t="shared" si="18"/>
        <v>3</v>
      </c>
      <c r="L82" s="27">
        <v>44788</v>
      </c>
      <c r="M82" s="28" t="s">
        <v>25</v>
      </c>
      <c r="N82" s="47"/>
      <c r="O82" s="47"/>
      <c r="P82" s="77"/>
      <c r="Q82" s="2" t="str">
        <f t="shared" si="21"/>
        <v>Imprimir</v>
      </c>
      <c r="R82" s="2" t="s">
        <v>333</v>
      </c>
      <c r="S82" s="2">
        <v>113</v>
      </c>
      <c r="T82" s="64">
        <v>22</v>
      </c>
      <c r="U82" s="18" t="s">
        <v>15</v>
      </c>
      <c r="V82" s="18" t="s">
        <v>15</v>
      </c>
      <c r="W82" s="18" t="str">
        <f t="shared" si="13"/>
        <v>CAP</v>
      </c>
      <c r="X82" s="18" t="str">
        <f t="shared" si="14"/>
        <v>. 71 - NC</v>
      </c>
      <c r="Y82" s="18"/>
      <c r="AA82" s="22">
        <v>0</v>
      </c>
      <c r="AB82" s="29" t="str">
        <f t="shared" si="15"/>
        <v>Cambió</v>
      </c>
      <c r="AC82" s="30" t="s">
        <v>37</v>
      </c>
      <c r="AD82" s="29" t="s">
        <v>33</v>
      </c>
      <c r="AE82" s="29" t="s">
        <v>33</v>
      </c>
      <c r="AF82" s="11" t="s">
        <v>72</v>
      </c>
      <c r="AG82" s="31"/>
      <c r="AH82" s="31"/>
    </row>
    <row r="83" spans="1:34" s="26" customFormat="1" ht="93" customHeight="1" x14ac:dyDescent="0.25">
      <c r="A83" s="67">
        <v>72</v>
      </c>
      <c r="B83" s="82" t="s">
        <v>377</v>
      </c>
      <c r="C83" s="21" t="s">
        <v>454</v>
      </c>
      <c r="D83" s="22">
        <v>104183.06</v>
      </c>
      <c r="E83" s="23" t="str">
        <f t="shared" si="11"/>
        <v>GUANAJUATO</v>
      </c>
      <c r="F83" s="23" t="str">
        <f t="shared" si="12"/>
        <v>SAN FELIPE</v>
      </c>
      <c r="G83" s="66" t="s">
        <v>353</v>
      </c>
      <c r="H83" s="81" t="str">
        <f t="shared" si="19"/>
        <v>1
 CUARTO DORMITORIO (S)</v>
      </c>
      <c r="I83" s="25">
        <f t="shared" si="20"/>
        <v>5</v>
      </c>
      <c r="J83" s="32">
        <f t="shared" si="18"/>
        <v>1</v>
      </c>
      <c r="L83" s="27">
        <v>44788</v>
      </c>
      <c r="M83" s="28" t="s">
        <v>25</v>
      </c>
      <c r="N83" s="47"/>
      <c r="O83" s="47"/>
      <c r="P83" s="77"/>
      <c r="Q83" s="2" t="str">
        <f t="shared" si="21"/>
        <v>Imprimir</v>
      </c>
      <c r="R83" s="2" t="s">
        <v>333</v>
      </c>
      <c r="S83" s="2">
        <v>113</v>
      </c>
      <c r="T83" s="64">
        <v>15</v>
      </c>
      <c r="U83" s="18" t="s">
        <v>15</v>
      </c>
      <c r="V83" s="18" t="s">
        <v>15</v>
      </c>
      <c r="W83" s="18" t="str">
        <f t="shared" si="13"/>
        <v>CAP</v>
      </c>
      <c r="X83" s="18" t="str">
        <f t="shared" si="14"/>
        <v>. 72 - NC</v>
      </c>
      <c r="Y83" s="18"/>
      <c r="AA83" s="22">
        <v>0</v>
      </c>
      <c r="AB83" s="29" t="str">
        <f t="shared" si="15"/>
        <v>Cambió</v>
      </c>
      <c r="AC83" s="30" t="s">
        <v>37</v>
      </c>
      <c r="AD83" s="29" t="s">
        <v>33</v>
      </c>
      <c r="AE83" s="29" t="s">
        <v>33</v>
      </c>
      <c r="AF83" s="11" t="s">
        <v>72</v>
      </c>
      <c r="AG83" s="31"/>
      <c r="AH83" s="31"/>
    </row>
    <row r="84" spans="1:34" s="26" customFormat="1" ht="78.75" customHeight="1" x14ac:dyDescent="0.25">
      <c r="A84" s="67">
        <v>73</v>
      </c>
      <c r="B84" s="82" t="s">
        <v>377</v>
      </c>
      <c r="C84" s="21" t="s">
        <v>455</v>
      </c>
      <c r="D84" s="22">
        <v>104183.06</v>
      </c>
      <c r="E84" s="23" t="str">
        <f t="shared" si="4"/>
        <v>GUANAJUATO</v>
      </c>
      <c r="F84" s="23" t="str">
        <f t="shared" si="5"/>
        <v>SAN FELIPE</v>
      </c>
      <c r="G84" s="66" t="s">
        <v>628</v>
      </c>
      <c r="H84" s="81" t="str">
        <f t="shared" si="19"/>
        <v>1
 CUARTO DORMITORIO (S)</v>
      </c>
      <c r="I84" s="25">
        <f t="shared" si="20"/>
        <v>5</v>
      </c>
      <c r="J84" s="32">
        <f t="shared" si="18"/>
        <v>1</v>
      </c>
      <c r="L84" s="27">
        <v>44788</v>
      </c>
      <c r="M84" s="28" t="s">
        <v>25</v>
      </c>
      <c r="P84" s="18"/>
      <c r="Q84" s="2" t="str">
        <f t="shared" si="21"/>
        <v>Imprimir</v>
      </c>
      <c r="R84" s="2" t="s">
        <v>333</v>
      </c>
      <c r="S84" s="2"/>
      <c r="T84" s="64"/>
      <c r="U84" s="18" t="s">
        <v>15</v>
      </c>
      <c r="V84" s="18" t="s">
        <v>15</v>
      </c>
      <c r="W84" s="18" t="str">
        <f t="shared" si="1"/>
        <v>CAP</v>
      </c>
      <c r="X84" s="18" t="str">
        <f t="shared" si="2"/>
        <v>. 73 - NC</v>
      </c>
      <c r="Y84" s="18"/>
      <c r="AA84" s="22">
        <v>0</v>
      </c>
      <c r="AB84" s="29" t="str">
        <f t="shared" si="3"/>
        <v>Cambió</v>
      </c>
      <c r="AC84" s="30" t="s">
        <v>37</v>
      </c>
      <c r="AD84" s="29" t="s">
        <v>33</v>
      </c>
      <c r="AE84" s="29" t="s">
        <v>33</v>
      </c>
      <c r="AF84" s="11" t="s">
        <v>72</v>
      </c>
      <c r="AG84" s="31"/>
      <c r="AH84" s="31"/>
    </row>
    <row r="85" spans="1:34" s="26" customFormat="1" ht="93" customHeight="1" x14ac:dyDescent="0.25">
      <c r="A85" s="67">
        <v>74</v>
      </c>
      <c r="B85" s="82" t="s">
        <v>377</v>
      </c>
      <c r="C85" s="21" t="s">
        <v>456</v>
      </c>
      <c r="D85" s="22">
        <v>555458.4</v>
      </c>
      <c r="E85" s="23" t="str">
        <f t="shared" si="4"/>
        <v>GUANAJUATO</v>
      </c>
      <c r="F85" s="23" t="str">
        <f t="shared" si="5"/>
        <v>SAN FELIPE</v>
      </c>
      <c r="G85" s="66" t="s">
        <v>47</v>
      </c>
      <c r="H85" s="81" t="str">
        <f t="shared" ref="H85:H90" si="22">J85&amp;"
 CUARTO PARA BAÑO (S)"</f>
        <v>6
 CUARTO PARA BAÑO (S)</v>
      </c>
      <c r="I85" s="25">
        <f t="shared" si="20"/>
        <v>30</v>
      </c>
      <c r="J85" s="32">
        <f t="shared" ref="J85:J90" si="23">ROUND(D85/92548,0)</f>
        <v>6</v>
      </c>
      <c r="L85" s="27">
        <v>44788</v>
      </c>
      <c r="M85" s="28" t="s">
        <v>25</v>
      </c>
      <c r="N85" s="47"/>
      <c r="O85" s="47"/>
      <c r="P85" s="77"/>
      <c r="Q85" s="2" t="str">
        <f t="shared" si="21"/>
        <v>Imprimir</v>
      </c>
      <c r="R85" s="2" t="s">
        <v>333</v>
      </c>
      <c r="S85" s="2">
        <v>92</v>
      </c>
      <c r="T85" s="64">
        <v>10</v>
      </c>
      <c r="U85" s="18" t="s">
        <v>15</v>
      </c>
      <c r="V85" s="18" t="s">
        <v>15</v>
      </c>
      <c r="W85" s="18" t="str">
        <f t="shared" si="1"/>
        <v>CAP</v>
      </c>
      <c r="X85" s="18" t="str">
        <f t="shared" si="2"/>
        <v>. 74 - NC</v>
      </c>
      <c r="Y85" s="18"/>
      <c r="AA85" s="22">
        <v>0</v>
      </c>
      <c r="AB85" s="29" t="str">
        <f t="shared" si="3"/>
        <v>Cambió</v>
      </c>
      <c r="AC85" s="30" t="s">
        <v>37</v>
      </c>
      <c r="AD85" s="29" t="s">
        <v>33</v>
      </c>
      <c r="AE85" s="29" t="s">
        <v>33</v>
      </c>
      <c r="AF85" s="11" t="s">
        <v>72</v>
      </c>
      <c r="AG85" s="31"/>
      <c r="AH85" s="31"/>
    </row>
    <row r="86" spans="1:34" s="26" customFormat="1" ht="93" customHeight="1" x14ac:dyDescent="0.25">
      <c r="A86" s="67">
        <v>75</v>
      </c>
      <c r="B86" s="82" t="s">
        <v>377</v>
      </c>
      <c r="C86" s="21" t="s">
        <v>457</v>
      </c>
      <c r="D86" s="22">
        <v>370305.6</v>
      </c>
      <c r="E86" s="23" t="str">
        <f t="shared" ref="E86:E115" si="24">IF(D86&gt;0,"GUANAJUATO","")</f>
        <v>GUANAJUATO</v>
      </c>
      <c r="F86" s="23" t="str">
        <f t="shared" ref="F86:F115" si="25">IF(D86&gt;0,"SAN FELIPE","")</f>
        <v>SAN FELIPE</v>
      </c>
      <c r="G86" s="66" t="s">
        <v>629</v>
      </c>
      <c r="H86" s="81" t="str">
        <f t="shared" si="22"/>
        <v>4
 CUARTO PARA BAÑO (S)</v>
      </c>
      <c r="I86" s="25">
        <f t="shared" ref="I86:I90" si="26">J86*5</f>
        <v>20</v>
      </c>
      <c r="J86" s="32">
        <f t="shared" si="23"/>
        <v>4</v>
      </c>
      <c r="L86" s="27">
        <v>44788</v>
      </c>
      <c r="M86" s="28" t="s">
        <v>25</v>
      </c>
      <c r="N86" s="47"/>
      <c r="O86" s="47"/>
      <c r="P86" s="77"/>
      <c r="Q86" s="2" t="str">
        <f t="shared" si="21"/>
        <v>Imprimir</v>
      </c>
      <c r="R86" s="2" t="s">
        <v>333</v>
      </c>
      <c r="S86" s="2">
        <v>92</v>
      </c>
      <c r="T86" s="64">
        <v>9</v>
      </c>
      <c r="U86" s="18" t="s">
        <v>15</v>
      </c>
      <c r="V86" s="18" t="s">
        <v>15</v>
      </c>
      <c r="W86" s="18" t="str">
        <f t="shared" ref="W86:W115" si="27">IF(L86="","","CAP")</f>
        <v>CAP</v>
      </c>
      <c r="X86" s="18" t="str">
        <f t="shared" ref="X86:X115" si="28">CONCATENATE($X$9,A86,$X$10,B86)</f>
        <v>. 75 - NC</v>
      </c>
      <c r="Y86" s="18"/>
      <c r="AA86" s="22">
        <v>0</v>
      </c>
      <c r="AB86" s="29" t="str">
        <f t="shared" ref="AB86:AB115" si="29">IF(D86&gt;0,IF(D86=AA86,"Sin Cambio","Cambió"),"")</f>
        <v>Cambió</v>
      </c>
      <c r="AC86" s="30" t="s">
        <v>37</v>
      </c>
      <c r="AD86" s="29" t="s">
        <v>33</v>
      </c>
      <c r="AE86" s="29" t="s">
        <v>33</v>
      </c>
      <c r="AF86" s="11" t="s">
        <v>72</v>
      </c>
      <c r="AG86" s="31"/>
      <c r="AH86" s="31"/>
    </row>
    <row r="87" spans="1:34" s="26" customFormat="1" ht="93" customHeight="1" x14ac:dyDescent="0.25">
      <c r="A87" s="67">
        <v>76</v>
      </c>
      <c r="B87" s="82" t="s">
        <v>377</v>
      </c>
      <c r="C87" s="21" t="s">
        <v>458</v>
      </c>
      <c r="D87" s="22">
        <v>92576.4</v>
      </c>
      <c r="E87" s="23" t="str">
        <f t="shared" si="24"/>
        <v>GUANAJUATO</v>
      </c>
      <c r="F87" s="23" t="str">
        <f t="shared" si="25"/>
        <v>SAN FELIPE</v>
      </c>
      <c r="G87" s="66" t="s">
        <v>12</v>
      </c>
      <c r="H87" s="81" t="str">
        <f t="shared" si="22"/>
        <v>1
 CUARTO PARA BAÑO (S)</v>
      </c>
      <c r="I87" s="25">
        <f t="shared" si="26"/>
        <v>5</v>
      </c>
      <c r="J87" s="32">
        <f t="shared" si="23"/>
        <v>1</v>
      </c>
      <c r="L87" s="27">
        <v>44788</v>
      </c>
      <c r="M87" s="28" t="s">
        <v>25</v>
      </c>
      <c r="N87" s="47"/>
      <c r="O87" s="47"/>
      <c r="P87" s="77"/>
      <c r="Q87" s="2" t="str">
        <f t="shared" si="21"/>
        <v>Imprimir</v>
      </c>
      <c r="R87" s="2" t="s">
        <v>333</v>
      </c>
      <c r="S87" s="2">
        <v>92</v>
      </c>
      <c r="T87" s="64">
        <v>17</v>
      </c>
      <c r="U87" s="18" t="s">
        <v>15</v>
      </c>
      <c r="V87" s="18" t="s">
        <v>15</v>
      </c>
      <c r="W87" s="18" t="str">
        <f t="shared" si="27"/>
        <v>CAP</v>
      </c>
      <c r="X87" s="18" t="str">
        <f t="shared" si="28"/>
        <v>. 76 - NC</v>
      </c>
      <c r="Y87" s="18"/>
      <c r="AA87" s="22">
        <v>0</v>
      </c>
      <c r="AB87" s="29" t="str">
        <f t="shared" si="29"/>
        <v>Cambió</v>
      </c>
      <c r="AC87" s="30" t="s">
        <v>37</v>
      </c>
      <c r="AD87" s="29" t="s">
        <v>33</v>
      </c>
      <c r="AE87" s="29" t="s">
        <v>33</v>
      </c>
      <c r="AF87" s="11" t="s">
        <v>72</v>
      </c>
      <c r="AG87" s="31"/>
      <c r="AH87" s="31"/>
    </row>
    <row r="88" spans="1:34" s="26" customFormat="1" ht="93" customHeight="1" x14ac:dyDescent="0.25">
      <c r="A88" s="67">
        <v>77</v>
      </c>
      <c r="B88" s="82" t="s">
        <v>377</v>
      </c>
      <c r="C88" s="21" t="s">
        <v>301</v>
      </c>
      <c r="D88" s="22">
        <v>92576.4</v>
      </c>
      <c r="E88" s="23" t="str">
        <f t="shared" si="24"/>
        <v>GUANAJUATO</v>
      </c>
      <c r="F88" s="23" t="str">
        <f t="shared" si="25"/>
        <v>SAN FELIPE</v>
      </c>
      <c r="G88" s="66" t="s">
        <v>12</v>
      </c>
      <c r="H88" s="81" t="str">
        <f t="shared" si="22"/>
        <v>1
 CUARTO PARA BAÑO (S)</v>
      </c>
      <c r="I88" s="25">
        <f t="shared" si="26"/>
        <v>5</v>
      </c>
      <c r="J88" s="32">
        <f t="shared" si="23"/>
        <v>1</v>
      </c>
      <c r="L88" s="27">
        <v>44788</v>
      </c>
      <c r="M88" s="28" t="s">
        <v>25</v>
      </c>
      <c r="N88" s="47"/>
      <c r="O88" s="47"/>
      <c r="P88" s="77"/>
      <c r="Q88" s="2" t="str">
        <f t="shared" si="21"/>
        <v>Imprimir</v>
      </c>
      <c r="R88" s="2" t="s">
        <v>333</v>
      </c>
      <c r="S88" s="2">
        <v>92</v>
      </c>
      <c r="T88" s="64">
        <v>12</v>
      </c>
      <c r="U88" s="18" t="s">
        <v>15</v>
      </c>
      <c r="V88" s="18" t="s">
        <v>15</v>
      </c>
      <c r="W88" s="18" t="str">
        <f t="shared" si="27"/>
        <v>CAP</v>
      </c>
      <c r="X88" s="18" t="str">
        <f t="shared" si="28"/>
        <v>. 77 - NC</v>
      </c>
      <c r="Y88" s="18"/>
      <c r="AA88" s="22">
        <v>0</v>
      </c>
      <c r="AB88" s="29" t="str">
        <f t="shared" si="29"/>
        <v>Cambió</v>
      </c>
      <c r="AC88" s="30" t="s">
        <v>37</v>
      </c>
      <c r="AD88" s="29" t="s">
        <v>33</v>
      </c>
      <c r="AE88" s="29" t="s">
        <v>33</v>
      </c>
      <c r="AF88" s="11" t="s">
        <v>72</v>
      </c>
      <c r="AG88" s="31"/>
      <c r="AH88" s="31"/>
    </row>
    <row r="89" spans="1:34" s="26" customFormat="1" ht="93" customHeight="1" x14ac:dyDescent="0.25">
      <c r="A89" s="67">
        <v>78</v>
      </c>
      <c r="B89" s="82" t="s">
        <v>377</v>
      </c>
      <c r="C89" s="21" t="s">
        <v>459</v>
      </c>
      <c r="D89" s="22">
        <v>277729.2</v>
      </c>
      <c r="E89" s="23" t="str">
        <f t="shared" si="24"/>
        <v>GUANAJUATO</v>
      </c>
      <c r="F89" s="23" t="str">
        <f t="shared" si="25"/>
        <v>SAN FELIPE</v>
      </c>
      <c r="G89" s="66" t="s">
        <v>46</v>
      </c>
      <c r="H89" s="81" t="str">
        <f t="shared" si="22"/>
        <v>3
 CUARTO PARA BAÑO (S)</v>
      </c>
      <c r="I89" s="25">
        <f t="shared" si="26"/>
        <v>15</v>
      </c>
      <c r="J89" s="32">
        <f t="shared" si="23"/>
        <v>3</v>
      </c>
      <c r="L89" s="27">
        <v>44788</v>
      </c>
      <c r="M89" s="28" t="s">
        <v>25</v>
      </c>
      <c r="N89" s="47"/>
      <c r="O89" s="47"/>
      <c r="P89" s="77"/>
      <c r="Q89" s="2" t="str">
        <f t="shared" si="21"/>
        <v>Imprimir</v>
      </c>
      <c r="R89" s="2" t="s">
        <v>333</v>
      </c>
      <c r="S89" s="2">
        <v>92</v>
      </c>
      <c r="T89" s="64">
        <v>21</v>
      </c>
      <c r="U89" s="18" t="s">
        <v>15</v>
      </c>
      <c r="V89" s="18" t="s">
        <v>15</v>
      </c>
      <c r="W89" s="18" t="str">
        <f t="shared" si="27"/>
        <v>CAP</v>
      </c>
      <c r="X89" s="18" t="str">
        <f t="shared" si="28"/>
        <v>. 78 - NC</v>
      </c>
      <c r="Y89" s="18"/>
      <c r="AA89" s="22">
        <v>0</v>
      </c>
      <c r="AB89" s="29" t="str">
        <f t="shared" si="29"/>
        <v>Cambió</v>
      </c>
      <c r="AC89" s="30" t="s">
        <v>37</v>
      </c>
      <c r="AD89" s="29" t="s">
        <v>33</v>
      </c>
      <c r="AE89" s="29" t="s">
        <v>33</v>
      </c>
      <c r="AF89" s="11" t="s">
        <v>72</v>
      </c>
      <c r="AG89" s="31"/>
      <c r="AH89" s="31"/>
    </row>
    <row r="90" spans="1:34" s="26" customFormat="1" ht="93" customHeight="1" x14ac:dyDescent="0.25">
      <c r="A90" s="67">
        <v>79</v>
      </c>
      <c r="B90" s="82" t="s">
        <v>377</v>
      </c>
      <c r="C90" s="21" t="s">
        <v>460</v>
      </c>
      <c r="D90" s="22">
        <v>92576.4</v>
      </c>
      <c r="E90" s="23" t="str">
        <f t="shared" si="24"/>
        <v>GUANAJUATO</v>
      </c>
      <c r="F90" s="23" t="str">
        <f t="shared" si="25"/>
        <v>SAN FELIPE</v>
      </c>
      <c r="G90" s="66" t="s">
        <v>328</v>
      </c>
      <c r="H90" s="81" t="str">
        <f t="shared" si="22"/>
        <v>1
 CUARTO PARA BAÑO (S)</v>
      </c>
      <c r="I90" s="25">
        <f t="shared" si="26"/>
        <v>5</v>
      </c>
      <c r="J90" s="32">
        <f t="shared" si="23"/>
        <v>1</v>
      </c>
      <c r="L90" s="27">
        <v>44788</v>
      </c>
      <c r="M90" s="28" t="s">
        <v>25</v>
      </c>
      <c r="N90" s="47"/>
      <c r="O90" s="47"/>
      <c r="P90" s="77"/>
      <c r="Q90" s="2" t="str">
        <f t="shared" si="21"/>
        <v>Imprimir</v>
      </c>
      <c r="R90" s="2" t="s">
        <v>333</v>
      </c>
      <c r="S90" s="2">
        <v>92</v>
      </c>
      <c r="T90" s="64">
        <v>24</v>
      </c>
      <c r="U90" s="18" t="s">
        <v>15</v>
      </c>
      <c r="V90" s="18" t="s">
        <v>15</v>
      </c>
      <c r="W90" s="18" t="str">
        <f t="shared" si="27"/>
        <v>CAP</v>
      </c>
      <c r="X90" s="18" t="str">
        <f t="shared" si="28"/>
        <v>. 79 - NC</v>
      </c>
      <c r="Y90" s="18"/>
      <c r="AA90" s="22">
        <v>0</v>
      </c>
      <c r="AB90" s="29" t="str">
        <f t="shared" si="29"/>
        <v>Cambió</v>
      </c>
      <c r="AC90" s="30" t="s">
        <v>37</v>
      </c>
      <c r="AD90" s="29" t="s">
        <v>33</v>
      </c>
      <c r="AE90" s="29" t="s">
        <v>33</v>
      </c>
      <c r="AF90" s="11" t="s">
        <v>72</v>
      </c>
      <c r="AG90" s="31"/>
      <c r="AH90" s="31"/>
    </row>
    <row r="91" spans="1:34" s="26" customFormat="1" ht="93" customHeight="1" x14ac:dyDescent="0.25">
      <c r="A91" s="67">
        <v>80</v>
      </c>
      <c r="B91" s="82" t="s">
        <v>377</v>
      </c>
      <c r="C91" s="21" t="s">
        <v>461</v>
      </c>
      <c r="D91" s="22">
        <v>74980</v>
      </c>
      <c r="E91" s="23" t="str">
        <f t="shared" si="24"/>
        <v>GUANAJUATO</v>
      </c>
      <c r="F91" s="23" t="str">
        <f t="shared" si="25"/>
        <v>SAN FELIPE</v>
      </c>
      <c r="G91" s="66" t="s">
        <v>326</v>
      </c>
      <c r="H91" s="81" t="str">
        <f t="shared" ref="H91:H96" si="30">J91&amp;"
METROS CUADRADOS"</f>
        <v>21.27
METROS CUADRADOS</v>
      </c>
      <c r="I91" s="25">
        <f t="shared" ref="I91:I96" si="31">K91*5</f>
        <v>5</v>
      </c>
      <c r="J91" s="32">
        <f t="shared" ref="J91:J96" si="32">ROUND(D91/3525,2)</f>
        <v>21.27</v>
      </c>
      <c r="K91" s="26">
        <v>1</v>
      </c>
      <c r="L91" s="27">
        <v>44788</v>
      </c>
      <c r="M91" s="28" t="s">
        <v>25</v>
      </c>
      <c r="N91" s="47" t="str">
        <f>IF(G91&lt;&gt;0,"Capturado","")</f>
        <v>Capturado</v>
      </c>
      <c r="O91" s="26" t="str">
        <f t="shared" ref="O91:O154" si="33">IF(H91&lt;&gt;0,"Capturado","")</f>
        <v>Capturado</v>
      </c>
      <c r="P91" s="77"/>
      <c r="Q91" s="2" t="str">
        <f>IF(C91&lt;&gt;0,"Imprimir","")</f>
        <v>Imprimir</v>
      </c>
      <c r="R91" s="2"/>
      <c r="S91" s="2">
        <v>92</v>
      </c>
      <c r="T91" s="64">
        <v>27</v>
      </c>
      <c r="U91" s="18" t="s">
        <v>15</v>
      </c>
      <c r="V91" s="18" t="s">
        <v>15</v>
      </c>
      <c r="W91" s="18" t="str">
        <f t="shared" si="27"/>
        <v>CAP</v>
      </c>
      <c r="X91" s="18" t="str">
        <f t="shared" si="28"/>
        <v>. 80 - NC</v>
      </c>
      <c r="Y91" s="18"/>
      <c r="AA91" s="22">
        <v>0</v>
      </c>
      <c r="AB91" s="29" t="str">
        <f t="shared" si="29"/>
        <v>Cambió</v>
      </c>
      <c r="AC91" s="30" t="s">
        <v>37</v>
      </c>
      <c r="AD91" s="29" t="s">
        <v>33</v>
      </c>
      <c r="AE91" s="29" t="s">
        <v>33</v>
      </c>
      <c r="AF91" s="11" t="s">
        <v>72</v>
      </c>
      <c r="AG91" s="31"/>
      <c r="AH91" s="31"/>
    </row>
    <row r="92" spans="1:34" s="26" customFormat="1" ht="93" customHeight="1" x14ac:dyDescent="0.25">
      <c r="A92" s="67">
        <v>81</v>
      </c>
      <c r="B92" s="82" t="s">
        <v>377</v>
      </c>
      <c r="C92" s="21" t="s">
        <v>462</v>
      </c>
      <c r="D92" s="22">
        <v>75000</v>
      </c>
      <c r="E92" s="23" t="str">
        <f t="shared" si="24"/>
        <v>GUANAJUATO</v>
      </c>
      <c r="F92" s="23" t="str">
        <f t="shared" si="25"/>
        <v>SAN FELIPE</v>
      </c>
      <c r="G92" s="66" t="s">
        <v>630</v>
      </c>
      <c r="H92" s="81" t="str">
        <f t="shared" si="30"/>
        <v>21.28
METROS CUADRADOS</v>
      </c>
      <c r="I92" s="25">
        <f t="shared" si="31"/>
        <v>5</v>
      </c>
      <c r="J92" s="32">
        <f t="shared" si="32"/>
        <v>21.28</v>
      </c>
      <c r="K92" s="26">
        <v>1</v>
      </c>
      <c r="L92" s="27">
        <v>44788</v>
      </c>
      <c r="M92" s="28" t="s">
        <v>25</v>
      </c>
      <c r="N92" s="26" t="str">
        <f t="shared" ref="N92:N107" si="34">IF(G92&lt;&gt;0,"Capturado","")</f>
        <v>Capturado</v>
      </c>
      <c r="O92" s="26" t="str">
        <f t="shared" si="33"/>
        <v>Capturado</v>
      </c>
      <c r="P92" s="77"/>
      <c r="Q92" s="2" t="str">
        <f t="shared" ref="Q92:Q155" si="35">IF(C92&lt;&gt;0,"Imprimir","")</f>
        <v>Imprimir</v>
      </c>
      <c r="R92" s="2"/>
      <c r="S92" s="2">
        <v>92</v>
      </c>
      <c r="T92" s="64">
        <v>24</v>
      </c>
      <c r="U92" s="18" t="s">
        <v>15</v>
      </c>
      <c r="V92" s="18" t="s">
        <v>15</v>
      </c>
      <c r="W92" s="18" t="str">
        <f t="shared" si="27"/>
        <v>CAP</v>
      </c>
      <c r="X92" s="18" t="str">
        <f t="shared" si="28"/>
        <v>. 81 - NC</v>
      </c>
      <c r="Y92" s="18"/>
      <c r="AA92" s="22">
        <v>0</v>
      </c>
      <c r="AB92" s="29" t="str">
        <f t="shared" si="29"/>
        <v>Cambió</v>
      </c>
      <c r="AC92" s="30" t="s">
        <v>37</v>
      </c>
      <c r="AD92" s="29" t="s">
        <v>33</v>
      </c>
      <c r="AE92" s="29" t="s">
        <v>33</v>
      </c>
      <c r="AF92" s="11" t="s">
        <v>72</v>
      </c>
      <c r="AG92" s="31"/>
      <c r="AH92" s="31"/>
    </row>
    <row r="93" spans="1:34" s="26" customFormat="1" ht="93" customHeight="1" x14ac:dyDescent="0.25">
      <c r="A93" s="67">
        <v>82</v>
      </c>
      <c r="B93" s="82" t="s">
        <v>377</v>
      </c>
      <c r="C93" s="21" t="s">
        <v>463</v>
      </c>
      <c r="D93" s="22">
        <v>75000</v>
      </c>
      <c r="E93" s="23" t="str">
        <f t="shared" si="24"/>
        <v>GUANAJUATO</v>
      </c>
      <c r="F93" s="23" t="str">
        <f t="shared" si="25"/>
        <v>SAN FELIPE</v>
      </c>
      <c r="G93" s="66" t="s">
        <v>12</v>
      </c>
      <c r="H93" s="81" t="str">
        <f t="shared" si="30"/>
        <v>21.28
METROS CUADRADOS</v>
      </c>
      <c r="I93" s="25">
        <f t="shared" si="31"/>
        <v>5</v>
      </c>
      <c r="J93" s="32">
        <f t="shared" si="32"/>
        <v>21.28</v>
      </c>
      <c r="K93" s="26">
        <v>1</v>
      </c>
      <c r="L93" s="27">
        <v>44788</v>
      </c>
      <c r="M93" s="28" t="s">
        <v>25</v>
      </c>
      <c r="N93" s="26" t="str">
        <f t="shared" si="34"/>
        <v>Capturado</v>
      </c>
      <c r="O93" s="26" t="str">
        <f t="shared" si="33"/>
        <v>Capturado</v>
      </c>
      <c r="P93" s="77"/>
      <c r="Q93" s="2" t="str">
        <f t="shared" si="35"/>
        <v>Imprimir</v>
      </c>
      <c r="R93" s="2"/>
      <c r="S93" s="2">
        <v>92</v>
      </c>
      <c r="T93" s="64">
        <v>8</v>
      </c>
      <c r="U93" s="18" t="s">
        <v>15</v>
      </c>
      <c r="V93" s="18" t="s">
        <v>15</v>
      </c>
      <c r="W93" s="18" t="str">
        <f t="shared" si="27"/>
        <v>CAP</v>
      </c>
      <c r="X93" s="18" t="str">
        <f t="shared" si="28"/>
        <v>. 82 - NC</v>
      </c>
      <c r="Y93" s="18"/>
      <c r="AA93" s="22">
        <v>0</v>
      </c>
      <c r="AB93" s="29" t="str">
        <f t="shared" si="29"/>
        <v>Cambió</v>
      </c>
      <c r="AC93" s="30" t="s">
        <v>37</v>
      </c>
      <c r="AD93" s="29" t="s">
        <v>33</v>
      </c>
      <c r="AE93" s="29" t="s">
        <v>33</v>
      </c>
      <c r="AF93" s="11" t="s">
        <v>72</v>
      </c>
      <c r="AG93" s="31"/>
      <c r="AH93" s="31"/>
    </row>
    <row r="94" spans="1:34" s="26" customFormat="1" ht="93" customHeight="1" x14ac:dyDescent="0.25">
      <c r="A94" s="67">
        <v>83</v>
      </c>
      <c r="B94" s="82" t="s">
        <v>377</v>
      </c>
      <c r="C94" s="21" t="s">
        <v>464</v>
      </c>
      <c r="D94" s="22">
        <v>128097.48</v>
      </c>
      <c r="E94" s="23" t="str">
        <f t="shared" si="24"/>
        <v>GUANAJUATO</v>
      </c>
      <c r="F94" s="23" t="str">
        <f t="shared" si="25"/>
        <v>SAN FELIPE</v>
      </c>
      <c r="G94" s="66" t="s">
        <v>369</v>
      </c>
      <c r="H94" s="81" t="str">
        <f t="shared" si="30"/>
        <v>36.34
METROS CUADRADOS</v>
      </c>
      <c r="I94" s="25">
        <f t="shared" si="31"/>
        <v>5</v>
      </c>
      <c r="J94" s="32">
        <f t="shared" si="32"/>
        <v>36.340000000000003</v>
      </c>
      <c r="K94" s="26">
        <v>1</v>
      </c>
      <c r="L94" s="27">
        <v>44788</v>
      </c>
      <c r="M94" s="28" t="s">
        <v>25</v>
      </c>
      <c r="N94" s="26" t="str">
        <f t="shared" si="34"/>
        <v>Capturado</v>
      </c>
      <c r="O94" s="26" t="str">
        <f t="shared" si="33"/>
        <v>Capturado</v>
      </c>
      <c r="P94" s="77"/>
      <c r="Q94" s="2" t="str">
        <f t="shared" si="35"/>
        <v>Imprimir</v>
      </c>
      <c r="R94" s="2"/>
      <c r="S94" s="2">
        <v>92</v>
      </c>
      <c r="T94" s="64">
        <v>18</v>
      </c>
      <c r="U94" s="18" t="s">
        <v>15</v>
      </c>
      <c r="V94" s="18" t="s">
        <v>15</v>
      </c>
      <c r="W94" s="18" t="str">
        <f t="shared" si="27"/>
        <v>CAP</v>
      </c>
      <c r="X94" s="18" t="str">
        <f t="shared" si="28"/>
        <v>. 83 - NC</v>
      </c>
      <c r="Y94" s="18"/>
      <c r="AA94" s="22">
        <v>0</v>
      </c>
      <c r="AB94" s="29" t="str">
        <f t="shared" si="29"/>
        <v>Cambió</v>
      </c>
      <c r="AC94" s="30" t="s">
        <v>37</v>
      </c>
      <c r="AD94" s="29" t="s">
        <v>33</v>
      </c>
      <c r="AE94" s="29" t="s">
        <v>33</v>
      </c>
      <c r="AF94" s="11" t="s">
        <v>72</v>
      </c>
      <c r="AG94" s="31"/>
      <c r="AH94" s="31"/>
    </row>
    <row r="95" spans="1:34" s="26" customFormat="1" ht="93" customHeight="1" x14ac:dyDescent="0.25">
      <c r="A95" s="67">
        <v>84</v>
      </c>
      <c r="B95" s="82" t="s">
        <v>377</v>
      </c>
      <c r="C95" s="21" t="s">
        <v>465</v>
      </c>
      <c r="D95" s="22">
        <v>357823.41000000003</v>
      </c>
      <c r="E95" s="23" t="str">
        <f t="shared" si="24"/>
        <v>GUANAJUATO</v>
      </c>
      <c r="F95" s="23" t="str">
        <f t="shared" si="25"/>
        <v>SAN FELIPE</v>
      </c>
      <c r="G95" s="66" t="s">
        <v>367</v>
      </c>
      <c r="H95" s="81" t="str">
        <f t="shared" si="30"/>
        <v>101.51
METROS CUADRADOS</v>
      </c>
      <c r="I95" s="25">
        <f t="shared" si="31"/>
        <v>10</v>
      </c>
      <c r="J95" s="32">
        <f t="shared" si="32"/>
        <v>101.51</v>
      </c>
      <c r="K95" s="26">
        <v>2</v>
      </c>
      <c r="L95" s="27">
        <v>44788</v>
      </c>
      <c r="M95" s="28" t="s">
        <v>25</v>
      </c>
      <c r="N95" s="26" t="str">
        <f t="shared" si="34"/>
        <v>Capturado</v>
      </c>
      <c r="O95" s="26" t="str">
        <f t="shared" si="33"/>
        <v>Capturado</v>
      </c>
      <c r="P95" s="77"/>
      <c r="Q95" s="2" t="str">
        <f t="shared" si="35"/>
        <v>Imprimir</v>
      </c>
      <c r="R95" s="2"/>
      <c r="S95" s="2">
        <v>92</v>
      </c>
      <c r="T95" s="64">
        <v>13</v>
      </c>
      <c r="U95" s="18" t="s">
        <v>15</v>
      </c>
      <c r="V95" s="18" t="s">
        <v>15</v>
      </c>
      <c r="W95" s="18" t="str">
        <f t="shared" si="27"/>
        <v>CAP</v>
      </c>
      <c r="X95" s="18" t="str">
        <f t="shared" si="28"/>
        <v>. 84 - NC</v>
      </c>
      <c r="Y95" s="18"/>
      <c r="AA95" s="22">
        <v>0</v>
      </c>
      <c r="AB95" s="29" t="str">
        <f t="shared" si="29"/>
        <v>Cambió</v>
      </c>
      <c r="AC95" s="30" t="s">
        <v>37</v>
      </c>
      <c r="AD95" s="29" t="s">
        <v>33</v>
      </c>
      <c r="AE95" s="29" t="s">
        <v>33</v>
      </c>
      <c r="AF95" s="11" t="s">
        <v>72</v>
      </c>
      <c r="AG95" s="31"/>
      <c r="AH95" s="31"/>
    </row>
    <row r="96" spans="1:34" s="26" customFormat="1" ht="93" customHeight="1" x14ac:dyDescent="0.25">
      <c r="A96" s="67">
        <v>85</v>
      </c>
      <c r="B96" s="82" t="s">
        <v>377</v>
      </c>
      <c r="C96" s="21" t="s">
        <v>466</v>
      </c>
      <c r="D96" s="22">
        <v>39079.11</v>
      </c>
      <c r="E96" s="23" t="str">
        <f t="shared" si="24"/>
        <v>GUANAJUATO</v>
      </c>
      <c r="F96" s="23" t="str">
        <f t="shared" si="25"/>
        <v>SAN FELIPE</v>
      </c>
      <c r="G96" s="66" t="s">
        <v>370</v>
      </c>
      <c r="H96" s="81" t="str">
        <f t="shared" si="30"/>
        <v>11.09
METROS CUADRADOS</v>
      </c>
      <c r="I96" s="25">
        <f t="shared" si="31"/>
        <v>5</v>
      </c>
      <c r="J96" s="32">
        <f t="shared" si="32"/>
        <v>11.09</v>
      </c>
      <c r="K96" s="26">
        <v>1</v>
      </c>
      <c r="L96" s="27">
        <v>44788</v>
      </c>
      <c r="M96" s="28" t="s">
        <v>25</v>
      </c>
      <c r="N96" s="26" t="str">
        <f t="shared" si="34"/>
        <v>Capturado</v>
      </c>
      <c r="O96" s="26" t="str">
        <f t="shared" si="33"/>
        <v>Capturado</v>
      </c>
      <c r="P96" s="77"/>
      <c r="Q96" s="2" t="str">
        <f t="shared" si="35"/>
        <v>Imprimir</v>
      </c>
      <c r="R96" s="2"/>
      <c r="S96" s="2">
        <v>92</v>
      </c>
      <c r="T96" s="64">
        <v>11</v>
      </c>
      <c r="U96" s="18" t="s">
        <v>15</v>
      </c>
      <c r="V96" s="18" t="s">
        <v>15</v>
      </c>
      <c r="W96" s="18" t="str">
        <f t="shared" si="27"/>
        <v>CAP</v>
      </c>
      <c r="X96" s="18" t="str">
        <f t="shared" si="28"/>
        <v>. 85 - NC</v>
      </c>
      <c r="Y96" s="18"/>
      <c r="AA96" s="22">
        <v>0</v>
      </c>
      <c r="AB96" s="29" t="str">
        <f t="shared" si="29"/>
        <v>Cambió</v>
      </c>
      <c r="AC96" s="30" t="s">
        <v>37</v>
      </c>
      <c r="AD96" s="29" t="s">
        <v>33</v>
      </c>
      <c r="AE96" s="29" t="s">
        <v>33</v>
      </c>
      <c r="AF96" s="11" t="s">
        <v>72</v>
      </c>
      <c r="AG96" s="31"/>
      <c r="AH96" s="31"/>
    </row>
    <row r="97" spans="1:34" s="26" customFormat="1" ht="93" customHeight="1" x14ac:dyDescent="0.25">
      <c r="A97" s="67">
        <v>86</v>
      </c>
      <c r="B97" s="82" t="s">
        <v>377</v>
      </c>
      <c r="C97" s="21" t="s">
        <v>248</v>
      </c>
      <c r="D97" s="22">
        <v>124000</v>
      </c>
      <c r="E97" s="23" t="str">
        <f t="shared" si="24"/>
        <v>GUANAJUATO</v>
      </c>
      <c r="F97" s="23" t="str">
        <f t="shared" si="25"/>
        <v>SAN FELIPE</v>
      </c>
      <c r="G97" s="66" t="s">
        <v>12</v>
      </c>
      <c r="H97" s="81" t="str">
        <f t="shared" ref="H97" si="36">J97&amp;"
 ESTUFA (S)"</f>
        <v>40
 ESTUFA (S)</v>
      </c>
      <c r="I97" s="25">
        <f t="shared" ref="I97" si="37">J97*5</f>
        <v>200</v>
      </c>
      <c r="J97" s="32">
        <f t="shared" ref="J97:J144" si="38">ROUND(D97/3100,0)</f>
        <v>40</v>
      </c>
      <c r="L97" s="27">
        <v>44788</v>
      </c>
      <c r="M97" s="28" t="s">
        <v>25</v>
      </c>
      <c r="N97" s="26" t="str">
        <f t="shared" si="34"/>
        <v>Capturado</v>
      </c>
      <c r="O97" s="26" t="str">
        <f t="shared" si="33"/>
        <v>Capturado</v>
      </c>
      <c r="P97" s="77"/>
      <c r="Q97" s="2" t="str">
        <f t="shared" si="35"/>
        <v>Imprimir</v>
      </c>
      <c r="R97" s="2"/>
      <c r="S97" s="2">
        <v>92</v>
      </c>
      <c r="T97" s="64">
        <v>11</v>
      </c>
      <c r="U97" s="18" t="s">
        <v>15</v>
      </c>
      <c r="V97" s="18" t="s">
        <v>15</v>
      </c>
      <c r="W97" s="18" t="str">
        <f t="shared" si="27"/>
        <v>CAP</v>
      </c>
      <c r="X97" s="18" t="str">
        <f t="shared" si="28"/>
        <v>. 86 - NC</v>
      </c>
      <c r="Y97" s="18"/>
      <c r="AA97" s="22">
        <v>0</v>
      </c>
      <c r="AB97" s="29" t="str">
        <f t="shared" si="29"/>
        <v>Cambió</v>
      </c>
      <c r="AC97" s="30" t="s">
        <v>37</v>
      </c>
      <c r="AD97" s="29" t="s">
        <v>33</v>
      </c>
      <c r="AE97" s="29" t="s">
        <v>33</v>
      </c>
      <c r="AF97" s="11" t="s">
        <v>72</v>
      </c>
      <c r="AG97" s="31"/>
      <c r="AH97" s="31"/>
    </row>
    <row r="98" spans="1:34" s="26" customFormat="1" ht="93" customHeight="1" x14ac:dyDescent="0.25">
      <c r="A98" s="67">
        <v>87</v>
      </c>
      <c r="B98" s="82" t="s">
        <v>377</v>
      </c>
      <c r="C98" s="21" t="s">
        <v>249</v>
      </c>
      <c r="D98" s="22">
        <v>93000</v>
      </c>
      <c r="E98" s="23" t="str">
        <f t="shared" si="24"/>
        <v>GUANAJUATO</v>
      </c>
      <c r="F98" s="23" t="str">
        <f t="shared" si="25"/>
        <v>SAN FELIPE</v>
      </c>
      <c r="G98" s="79" t="s">
        <v>348</v>
      </c>
      <c r="H98" s="81" t="str">
        <f t="shared" ref="H98:H144" si="39">J98&amp;"
 ESTUFA (S)"</f>
        <v>30
 ESTUFA (S)</v>
      </c>
      <c r="I98" s="25">
        <f t="shared" ref="I98:I144" si="40">J98*5</f>
        <v>150</v>
      </c>
      <c r="J98" s="32">
        <f t="shared" si="38"/>
        <v>30</v>
      </c>
      <c r="L98" s="27">
        <v>44788</v>
      </c>
      <c r="M98" s="28" t="s">
        <v>25</v>
      </c>
      <c r="N98" s="26" t="str">
        <f t="shared" si="34"/>
        <v>Capturado</v>
      </c>
      <c r="O98" s="26" t="str">
        <f t="shared" si="33"/>
        <v>Capturado</v>
      </c>
      <c r="P98" s="77"/>
      <c r="Q98" s="2" t="str">
        <f t="shared" si="35"/>
        <v>Imprimir</v>
      </c>
      <c r="R98" s="2"/>
      <c r="S98" s="2">
        <v>92</v>
      </c>
      <c r="T98" s="64">
        <v>18</v>
      </c>
      <c r="U98" s="18" t="s">
        <v>15</v>
      </c>
      <c r="V98" s="18" t="s">
        <v>15</v>
      </c>
      <c r="W98" s="18" t="str">
        <f t="shared" si="27"/>
        <v>CAP</v>
      </c>
      <c r="X98" s="18" t="str">
        <f t="shared" si="28"/>
        <v>. 87 - NC</v>
      </c>
      <c r="Y98" s="18"/>
      <c r="AA98" s="22">
        <v>0</v>
      </c>
      <c r="AB98" s="29" t="str">
        <f t="shared" si="29"/>
        <v>Cambió</v>
      </c>
      <c r="AC98" s="30" t="s">
        <v>37</v>
      </c>
      <c r="AD98" s="29" t="s">
        <v>33</v>
      </c>
      <c r="AE98" s="29" t="s">
        <v>33</v>
      </c>
      <c r="AF98" s="11" t="s">
        <v>72</v>
      </c>
      <c r="AG98" s="31"/>
      <c r="AH98" s="31"/>
    </row>
    <row r="99" spans="1:34" s="26" customFormat="1" ht="93" customHeight="1" x14ac:dyDescent="0.25">
      <c r="A99" s="67">
        <v>88</v>
      </c>
      <c r="B99" s="82" t="s">
        <v>377</v>
      </c>
      <c r="C99" s="21" t="s">
        <v>467</v>
      </c>
      <c r="D99" s="22">
        <v>65100</v>
      </c>
      <c r="E99" s="23" t="str">
        <f t="shared" si="24"/>
        <v>GUANAJUATO</v>
      </c>
      <c r="F99" s="23" t="str">
        <f t="shared" si="25"/>
        <v>SAN FELIPE</v>
      </c>
      <c r="G99" s="79" t="s">
        <v>631</v>
      </c>
      <c r="H99" s="81" t="str">
        <f t="shared" si="39"/>
        <v>21
 ESTUFA (S)</v>
      </c>
      <c r="I99" s="25">
        <f t="shared" si="40"/>
        <v>105</v>
      </c>
      <c r="J99" s="32">
        <f t="shared" si="38"/>
        <v>21</v>
      </c>
      <c r="L99" s="27">
        <v>44788</v>
      </c>
      <c r="M99" s="28" t="s">
        <v>25</v>
      </c>
      <c r="N99" s="26" t="str">
        <f t="shared" si="34"/>
        <v>Capturado</v>
      </c>
      <c r="O99" s="26" t="str">
        <f t="shared" si="33"/>
        <v>Capturado</v>
      </c>
      <c r="P99" s="77"/>
      <c r="Q99" s="2" t="str">
        <f t="shared" si="35"/>
        <v>Imprimir</v>
      </c>
      <c r="R99" s="2"/>
      <c r="S99" s="2">
        <v>92</v>
      </c>
      <c r="T99" s="64">
        <v>12</v>
      </c>
      <c r="U99" s="18" t="s">
        <v>15</v>
      </c>
      <c r="V99" s="18" t="s">
        <v>15</v>
      </c>
      <c r="W99" s="18" t="str">
        <f t="shared" si="27"/>
        <v>CAP</v>
      </c>
      <c r="X99" s="18" t="str">
        <f t="shared" si="28"/>
        <v>. 88 - NC</v>
      </c>
      <c r="Y99" s="18"/>
      <c r="AA99" s="22">
        <v>0</v>
      </c>
      <c r="AB99" s="29" t="str">
        <f t="shared" si="29"/>
        <v>Cambió</v>
      </c>
      <c r="AC99" s="30" t="s">
        <v>37</v>
      </c>
      <c r="AD99" s="29" t="s">
        <v>33</v>
      </c>
      <c r="AE99" s="29" t="s">
        <v>33</v>
      </c>
      <c r="AF99" s="11" t="s">
        <v>72</v>
      </c>
      <c r="AG99" s="31"/>
      <c r="AH99" s="31"/>
    </row>
    <row r="100" spans="1:34" s="26" customFormat="1" ht="93" customHeight="1" x14ac:dyDescent="0.25">
      <c r="A100" s="67">
        <v>89</v>
      </c>
      <c r="B100" s="82" t="s">
        <v>377</v>
      </c>
      <c r="C100" s="21" t="s">
        <v>468</v>
      </c>
      <c r="D100" s="22">
        <v>40300</v>
      </c>
      <c r="E100" s="23" t="str">
        <f t="shared" si="24"/>
        <v>GUANAJUATO</v>
      </c>
      <c r="F100" s="23" t="str">
        <f t="shared" si="25"/>
        <v>SAN FELIPE</v>
      </c>
      <c r="G100" s="66" t="s">
        <v>614</v>
      </c>
      <c r="H100" s="81" t="str">
        <f t="shared" si="39"/>
        <v>13
 ESTUFA (S)</v>
      </c>
      <c r="I100" s="25">
        <f t="shared" si="40"/>
        <v>65</v>
      </c>
      <c r="J100" s="32">
        <f t="shared" si="38"/>
        <v>13</v>
      </c>
      <c r="L100" s="27">
        <v>44788</v>
      </c>
      <c r="M100" s="28" t="s">
        <v>25</v>
      </c>
      <c r="N100" s="26" t="str">
        <f t="shared" si="34"/>
        <v>Capturado</v>
      </c>
      <c r="O100" s="26" t="str">
        <f t="shared" si="33"/>
        <v>Capturado</v>
      </c>
      <c r="P100" s="77"/>
      <c r="Q100" s="2" t="str">
        <f t="shared" si="35"/>
        <v>Imprimir</v>
      </c>
      <c r="R100" s="2"/>
      <c r="S100" s="2">
        <v>92</v>
      </c>
      <c r="T100" s="64">
        <v>33</v>
      </c>
      <c r="U100" s="18" t="s">
        <v>15</v>
      </c>
      <c r="V100" s="18" t="s">
        <v>15</v>
      </c>
      <c r="W100" s="18" t="str">
        <f t="shared" si="27"/>
        <v>CAP</v>
      </c>
      <c r="X100" s="18" t="str">
        <f t="shared" si="28"/>
        <v>. 89 - NC</v>
      </c>
      <c r="Y100" s="18"/>
      <c r="AA100" s="22">
        <v>0</v>
      </c>
      <c r="AB100" s="29" t="str">
        <f t="shared" si="29"/>
        <v>Cambió</v>
      </c>
      <c r="AC100" s="30" t="s">
        <v>37</v>
      </c>
      <c r="AD100" s="29" t="s">
        <v>33</v>
      </c>
      <c r="AE100" s="29" t="s">
        <v>33</v>
      </c>
      <c r="AF100" s="11" t="s">
        <v>72</v>
      </c>
      <c r="AG100" s="31"/>
      <c r="AH100" s="31"/>
    </row>
    <row r="101" spans="1:34" s="26" customFormat="1" ht="93" customHeight="1" x14ac:dyDescent="0.25">
      <c r="A101" s="67">
        <v>90</v>
      </c>
      <c r="B101" s="82" t="s">
        <v>377</v>
      </c>
      <c r="C101" s="21" t="s">
        <v>469</v>
      </c>
      <c r="D101" s="22">
        <v>46500</v>
      </c>
      <c r="E101" s="23" t="str">
        <f t="shared" si="24"/>
        <v>GUANAJUATO</v>
      </c>
      <c r="F101" s="23" t="str">
        <f t="shared" si="25"/>
        <v>SAN FELIPE</v>
      </c>
      <c r="G101" s="66" t="s">
        <v>360</v>
      </c>
      <c r="H101" s="81" t="str">
        <f t="shared" si="39"/>
        <v>15
 ESTUFA (S)</v>
      </c>
      <c r="I101" s="25">
        <f t="shared" si="40"/>
        <v>75</v>
      </c>
      <c r="J101" s="32">
        <f t="shared" si="38"/>
        <v>15</v>
      </c>
      <c r="L101" s="27">
        <v>44788</v>
      </c>
      <c r="M101" s="28" t="s">
        <v>25</v>
      </c>
      <c r="N101" s="26" t="str">
        <f t="shared" si="34"/>
        <v>Capturado</v>
      </c>
      <c r="O101" s="26" t="str">
        <f t="shared" si="33"/>
        <v>Capturado</v>
      </c>
      <c r="P101" s="77"/>
      <c r="Q101" s="2" t="str">
        <f t="shared" si="35"/>
        <v>Imprimir</v>
      </c>
      <c r="R101" s="2"/>
      <c r="S101" s="2">
        <v>92</v>
      </c>
      <c r="T101" s="64">
        <v>19</v>
      </c>
      <c r="U101" s="18" t="s">
        <v>15</v>
      </c>
      <c r="V101" s="18" t="s">
        <v>15</v>
      </c>
      <c r="W101" s="18" t="str">
        <f t="shared" si="27"/>
        <v>CAP</v>
      </c>
      <c r="X101" s="18" t="str">
        <f t="shared" si="28"/>
        <v>. 90 - NC</v>
      </c>
      <c r="Y101" s="18"/>
      <c r="AA101" s="22">
        <v>0</v>
      </c>
      <c r="AB101" s="29" t="str">
        <f t="shared" si="29"/>
        <v>Cambió</v>
      </c>
      <c r="AC101" s="30" t="s">
        <v>37</v>
      </c>
      <c r="AD101" s="29" t="s">
        <v>33</v>
      </c>
      <c r="AE101" s="29" t="s">
        <v>33</v>
      </c>
      <c r="AF101" s="11" t="s">
        <v>72</v>
      </c>
      <c r="AG101" s="31"/>
      <c r="AH101" s="31"/>
    </row>
    <row r="102" spans="1:34" s="26" customFormat="1" ht="93" customHeight="1" x14ac:dyDescent="0.25">
      <c r="A102" s="67">
        <v>91</v>
      </c>
      <c r="B102" s="82" t="s">
        <v>377</v>
      </c>
      <c r="C102" s="21" t="s">
        <v>470</v>
      </c>
      <c r="D102" s="22">
        <v>77500</v>
      </c>
      <c r="E102" s="23" t="str">
        <f t="shared" si="24"/>
        <v>GUANAJUATO</v>
      </c>
      <c r="F102" s="23" t="str">
        <f t="shared" si="25"/>
        <v>SAN FELIPE</v>
      </c>
      <c r="G102" s="66" t="s">
        <v>349</v>
      </c>
      <c r="H102" s="81" t="str">
        <f t="shared" si="39"/>
        <v>25
 ESTUFA (S)</v>
      </c>
      <c r="I102" s="25">
        <f t="shared" si="40"/>
        <v>125</v>
      </c>
      <c r="J102" s="32">
        <f t="shared" si="38"/>
        <v>25</v>
      </c>
      <c r="L102" s="27">
        <v>44788</v>
      </c>
      <c r="M102" s="28" t="s">
        <v>25</v>
      </c>
      <c r="N102" s="26" t="str">
        <f t="shared" si="34"/>
        <v>Capturado</v>
      </c>
      <c r="O102" s="26" t="str">
        <f t="shared" si="33"/>
        <v>Capturado</v>
      </c>
      <c r="P102" s="77"/>
      <c r="Q102" s="2" t="str">
        <f t="shared" si="35"/>
        <v>Imprimir</v>
      </c>
      <c r="R102" s="2"/>
      <c r="S102" s="2">
        <v>92</v>
      </c>
      <c r="T102" s="64">
        <v>13</v>
      </c>
      <c r="U102" s="18" t="s">
        <v>15</v>
      </c>
      <c r="V102" s="18" t="s">
        <v>15</v>
      </c>
      <c r="W102" s="18" t="str">
        <f t="shared" si="27"/>
        <v>CAP</v>
      </c>
      <c r="X102" s="18" t="str">
        <f t="shared" si="28"/>
        <v>. 91 - NC</v>
      </c>
      <c r="Y102" s="18"/>
      <c r="AA102" s="22">
        <v>0</v>
      </c>
      <c r="AB102" s="29" t="str">
        <f t="shared" si="29"/>
        <v>Cambió</v>
      </c>
      <c r="AC102" s="30" t="s">
        <v>37</v>
      </c>
      <c r="AD102" s="29" t="s">
        <v>33</v>
      </c>
      <c r="AE102" s="29" t="s">
        <v>33</v>
      </c>
      <c r="AF102" s="11" t="s">
        <v>72</v>
      </c>
      <c r="AG102" s="31"/>
      <c r="AH102" s="31"/>
    </row>
    <row r="103" spans="1:34" s="26" customFormat="1" ht="93" customHeight="1" x14ac:dyDescent="0.25">
      <c r="A103" s="67">
        <v>92</v>
      </c>
      <c r="B103" s="82" t="s">
        <v>377</v>
      </c>
      <c r="C103" s="21" t="s">
        <v>471</v>
      </c>
      <c r="D103" s="22">
        <v>31000</v>
      </c>
      <c r="E103" s="23" t="str">
        <f t="shared" si="24"/>
        <v>GUANAJUATO</v>
      </c>
      <c r="F103" s="23" t="str">
        <f t="shared" si="25"/>
        <v>SAN FELIPE</v>
      </c>
      <c r="G103" s="66" t="s">
        <v>366</v>
      </c>
      <c r="H103" s="81" t="str">
        <f t="shared" si="39"/>
        <v>10
 ESTUFA (S)</v>
      </c>
      <c r="I103" s="25">
        <f t="shared" si="40"/>
        <v>50</v>
      </c>
      <c r="J103" s="32">
        <f t="shared" si="38"/>
        <v>10</v>
      </c>
      <c r="L103" s="27">
        <v>44788</v>
      </c>
      <c r="M103" s="28" t="s">
        <v>25</v>
      </c>
      <c r="N103" s="26" t="str">
        <f t="shared" si="34"/>
        <v>Capturado</v>
      </c>
      <c r="O103" s="26" t="str">
        <f t="shared" si="33"/>
        <v>Capturado</v>
      </c>
      <c r="P103" s="77"/>
      <c r="Q103" s="2" t="str">
        <f t="shared" si="35"/>
        <v>Imprimir</v>
      </c>
      <c r="R103" s="2"/>
      <c r="S103" s="2">
        <v>92</v>
      </c>
      <c r="T103" s="64">
        <v>11</v>
      </c>
      <c r="U103" s="18" t="s">
        <v>15</v>
      </c>
      <c r="V103" s="18" t="s">
        <v>15</v>
      </c>
      <c r="W103" s="18" t="str">
        <f t="shared" si="27"/>
        <v>CAP</v>
      </c>
      <c r="X103" s="18" t="str">
        <f t="shared" si="28"/>
        <v>. 92 - NC</v>
      </c>
      <c r="Y103" s="18"/>
      <c r="AA103" s="22">
        <v>0</v>
      </c>
      <c r="AB103" s="29" t="str">
        <f t="shared" si="29"/>
        <v>Cambió</v>
      </c>
      <c r="AC103" s="30" t="s">
        <v>37</v>
      </c>
      <c r="AD103" s="29" t="s">
        <v>33</v>
      </c>
      <c r="AE103" s="29" t="s">
        <v>33</v>
      </c>
      <c r="AF103" s="11" t="s">
        <v>72</v>
      </c>
      <c r="AG103" s="31"/>
      <c r="AH103" s="31"/>
    </row>
    <row r="104" spans="1:34" s="26" customFormat="1" ht="93" customHeight="1" x14ac:dyDescent="0.25">
      <c r="A104" s="67">
        <v>93</v>
      </c>
      <c r="B104" s="82" t="s">
        <v>377</v>
      </c>
      <c r="C104" s="21" t="s">
        <v>472</v>
      </c>
      <c r="D104" s="22">
        <v>77500</v>
      </c>
      <c r="E104" s="23" t="str">
        <f t="shared" si="24"/>
        <v>GUANAJUATO</v>
      </c>
      <c r="F104" s="23" t="str">
        <f t="shared" si="25"/>
        <v>SAN FELIPE</v>
      </c>
      <c r="G104" s="66" t="s">
        <v>632</v>
      </c>
      <c r="H104" s="81" t="str">
        <f t="shared" si="39"/>
        <v>25
 ESTUFA (S)</v>
      </c>
      <c r="I104" s="25">
        <f t="shared" si="40"/>
        <v>125</v>
      </c>
      <c r="J104" s="32">
        <f t="shared" si="38"/>
        <v>25</v>
      </c>
      <c r="L104" s="27">
        <v>44788</v>
      </c>
      <c r="M104" s="28" t="s">
        <v>25</v>
      </c>
      <c r="N104" s="26" t="str">
        <f t="shared" si="34"/>
        <v>Capturado</v>
      </c>
      <c r="O104" s="26" t="str">
        <f t="shared" si="33"/>
        <v>Capturado</v>
      </c>
      <c r="P104" s="77"/>
      <c r="Q104" s="2" t="str">
        <f t="shared" si="35"/>
        <v>Imprimir</v>
      </c>
      <c r="R104" s="2"/>
      <c r="S104" s="2">
        <v>92</v>
      </c>
      <c r="T104" s="64">
        <v>9</v>
      </c>
      <c r="U104" s="18" t="s">
        <v>15</v>
      </c>
      <c r="V104" s="18" t="s">
        <v>15</v>
      </c>
      <c r="W104" s="18" t="str">
        <f t="shared" si="27"/>
        <v>CAP</v>
      </c>
      <c r="X104" s="18" t="str">
        <f t="shared" si="28"/>
        <v>. 93 - NC</v>
      </c>
      <c r="Y104" s="18"/>
      <c r="AA104" s="22">
        <v>0</v>
      </c>
      <c r="AB104" s="29" t="str">
        <f t="shared" si="29"/>
        <v>Cambió</v>
      </c>
      <c r="AC104" s="30" t="s">
        <v>37</v>
      </c>
      <c r="AD104" s="29" t="s">
        <v>33</v>
      </c>
      <c r="AE104" s="29" t="s">
        <v>33</v>
      </c>
      <c r="AF104" s="11" t="s">
        <v>72</v>
      </c>
      <c r="AG104" s="31"/>
      <c r="AH104" s="31"/>
    </row>
    <row r="105" spans="1:34" s="26" customFormat="1" ht="93" customHeight="1" x14ac:dyDescent="0.25">
      <c r="A105" s="67">
        <v>94</v>
      </c>
      <c r="B105" s="82" t="s">
        <v>377</v>
      </c>
      <c r="C105" s="21" t="s">
        <v>473</v>
      </c>
      <c r="D105" s="22">
        <v>62000</v>
      </c>
      <c r="E105" s="23" t="str">
        <f t="shared" si="24"/>
        <v>GUANAJUATO</v>
      </c>
      <c r="F105" s="23" t="str">
        <f t="shared" si="25"/>
        <v>SAN FELIPE</v>
      </c>
      <c r="G105" s="66" t="s">
        <v>633</v>
      </c>
      <c r="H105" s="81" t="str">
        <f t="shared" si="39"/>
        <v>20
 ESTUFA (S)</v>
      </c>
      <c r="I105" s="25">
        <f t="shared" si="40"/>
        <v>100</v>
      </c>
      <c r="J105" s="32">
        <f t="shared" si="38"/>
        <v>20</v>
      </c>
      <c r="L105" s="27">
        <v>44788</v>
      </c>
      <c r="M105" s="28" t="s">
        <v>25</v>
      </c>
      <c r="N105" s="26" t="str">
        <f t="shared" si="34"/>
        <v>Capturado</v>
      </c>
      <c r="O105" s="26" t="str">
        <f t="shared" si="33"/>
        <v>Capturado</v>
      </c>
      <c r="P105" s="77"/>
      <c r="Q105" s="2" t="str">
        <f t="shared" si="35"/>
        <v>Imprimir</v>
      </c>
      <c r="R105" s="2"/>
      <c r="S105" s="2">
        <v>92</v>
      </c>
      <c r="T105" s="64">
        <v>18</v>
      </c>
      <c r="U105" s="18" t="s">
        <v>15</v>
      </c>
      <c r="V105" s="18" t="s">
        <v>15</v>
      </c>
      <c r="W105" s="18" t="str">
        <f t="shared" si="27"/>
        <v>CAP</v>
      </c>
      <c r="X105" s="18" t="str">
        <f t="shared" si="28"/>
        <v>. 94 - NC</v>
      </c>
      <c r="Y105" s="18"/>
      <c r="AA105" s="22">
        <v>0</v>
      </c>
      <c r="AB105" s="29" t="str">
        <f t="shared" si="29"/>
        <v>Cambió</v>
      </c>
      <c r="AC105" s="30" t="s">
        <v>37</v>
      </c>
      <c r="AD105" s="29" t="s">
        <v>33</v>
      </c>
      <c r="AE105" s="29" t="s">
        <v>33</v>
      </c>
      <c r="AF105" s="11" t="s">
        <v>72</v>
      </c>
      <c r="AG105" s="31"/>
      <c r="AH105" s="31"/>
    </row>
    <row r="106" spans="1:34" s="26" customFormat="1" ht="93" customHeight="1" x14ac:dyDescent="0.25">
      <c r="A106" s="67">
        <v>95</v>
      </c>
      <c r="B106" s="82" t="s">
        <v>377</v>
      </c>
      <c r="C106" s="21" t="s">
        <v>474</v>
      </c>
      <c r="D106" s="22">
        <v>24800</v>
      </c>
      <c r="E106" s="23" t="str">
        <f t="shared" si="24"/>
        <v>GUANAJUATO</v>
      </c>
      <c r="F106" s="23" t="str">
        <f t="shared" si="25"/>
        <v>SAN FELIPE</v>
      </c>
      <c r="G106" s="79" t="s">
        <v>634</v>
      </c>
      <c r="H106" s="81" t="str">
        <f t="shared" si="39"/>
        <v>8
 ESTUFA (S)</v>
      </c>
      <c r="I106" s="25">
        <f t="shared" si="40"/>
        <v>40</v>
      </c>
      <c r="J106" s="32">
        <f t="shared" si="38"/>
        <v>8</v>
      </c>
      <c r="L106" s="27">
        <v>44788</v>
      </c>
      <c r="M106" s="28" t="s">
        <v>25</v>
      </c>
      <c r="N106" s="26" t="str">
        <f t="shared" si="34"/>
        <v>Capturado</v>
      </c>
      <c r="O106" s="26" t="str">
        <f t="shared" si="33"/>
        <v>Capturado</v>
      </c>
      <c r="P106" s="77"/>
      <c r="Q106" s="2" t="str">
        <f t="shared" si="35"/>
        <v>Imprimir</v>
      </c>
      <c r="R106" s="2"/>
      <c r="S106" s="2">
        <v>92</v>
      </c>
      <c r="T106" s="64">
        <v>7</v>
      </c>
      <c r="U106" s="18" t="s">
        <v>15</v>
      </c>
      <c r="V106" s="18" t="s">
        <v>15</v>
      </c>
      <c r="W106" s="18" t="str">
        <f t="shared" si="27"/>
        <v>CAP</v>
      </c>
      <c r="X106" s="18" t="str">
        <f t="shared" si="28"/>
        <v>. 95 - NC</v>
      </c>
      <c r="Y106" s="18"/>
      <c r="AA106" s="22">
        <v>0</v>
      </c>
      <c r="AB106" s="29" t="str">
        <f t="shared" si="29"/>
        <v>Cambió</v>
      </c>
      <c r="AC106" s="30" t="s">
        <v>37</v>
      </c>
      <c r="AD106" s="29" t="s">
        <v>33</v>
      </c>
      <c r="AE106" s="29" t="s">
        <v>33</v>
      </c>
      <c r="AF106" s="11" t="s">
        <v>72</v>
      </c>
      <c r="AG106" s="31"/>
      <c r="AH106" s="31"/>
    </row>
    <row r="107" spans="1:34" s="26" customFormat="1" ht="93" customHeight="1" x14ac:dyDescent="0.25">
      <c r="A107" s="67">
        <v>96</v>
      </c>
      <c r="B107" s="82" t="s">
        <v>377</v>
      </c>
      <c r="C107" s="21" t="s">
        <v>475</v>
      </c>
      <c r="D107" s="22">
        <v>46500</v>
      </c>
      <c r="E107" s="23" t="str">
        <f t="shared" si="24"/>
        <v>GUANAJUATO</v>
      </c>
      <c r="F107" s="23" t="str">
        <f t="shared" si="25"/>
        <v>SAN FELIPE</v>
      </c>
      <c r="G107" s="66" t="s">
        <v>635</v>
      </c>
      <c r="H107" s="81" t="str">
        <f t="shared" si="39"/>
        <v>15
 ESTUFA (S)</v>
      </c>
      <c r="I107" s="25">
        <f t="shared" si="40"/>
        <v>75</v>
      </c>
      <c r="J107" s="32">
        <f t="shared" si="38"/>
        <v>15</v>
      </c>
      <c r="L107" s="27">
        <v>44788</v>
      </c>
      <c r="M107" s="28" t="s">
        <v>25</v>
      </c>
      <c r="N107" s="26" t="str">
        <f t="shared" si="34"/>
        <v>Capturado</v>
      </c>
      <c r="O107" s="26" t="str">
        <f t="shared" si="33"/>
        <v>Capturado</v>
      </c>
      <c r="P107" s="77"/>
      <c r="Q107" s="2" t="str">
        <f t="shared" si="35"/>
        <v>Imprimir</v>
      </c>
      <c r="R107" s="2"/>
      <c r="S107" s="2">
        <v>92</v>
      </c>
      <c r="T107" s="64">
        <v>11</v>
      </c>
      <c r="U107" s="18" t="s">
        <v>15</v>
      </c>
      <c r="V107" s="18" t="s">
        <v>15</v>
      </c>
      <c r="W107" s="18" t="str">
        <f t="shared" si="27"/>
        <v>CAP</v>
      </c>
      <c r="X107" s="18" t="str">
        <f t="shared" si="28"/>
        <v>. 96 - NC</v>
      </c>
      <c r="Y107" s="18"/>
      <c r="AA107" s="22">
        <v>0</v>
      </c>
      <c r="AB107" s="29" t="str">
        <f t="shared" si="29"/>
        <v>Cambió</v>
      </c>
      <c r="AC107" s="30" t="s">
        <v>37</v>
      </c>
      <c r="AD107" s="29" t="s">
        <v>33</v>
      </c>
      <c r="AE107" s="29" t="s">
        <v>33</v>
      </c>
      <c r="AF107" s="11" t="s">
        <v>72</v>
      </c>
      <c r="AG107" s="31"/>
      <c r="AH107" s="31"/>
    </row>
    <row r="108" spans="1:34" s="26" customFormat="1" ht="93" customHeight="1" x14ac:dyDescent="0.25">
      <c r="A108" s="67">
        <v>97</v>
      </c>
      <c r="B108" s="82" t="s">
        <v>377</v>
      </c>
      <c r="C108" s="21" t="s">
        <v>278</v>
      </c>
      <c r="D108" s="22">
        <v>46500</v>
      </c>
      <c r="E108" s="23" t="str">
        <f t="shared" si="24"/>
        <v>GUANAJUATO</v>
      </c>
      <c r="F108" s="23" t="str">
        <f t="shared" si="25"/>
        <v>SAN FELIPE</v>
      </c>
      <c r="G108" s="79" t="s">
        <v>38</v>
      </c>
      <c r="H108" s="81" t="str">
        <f t="shared" si="39"/>
        <v>15
 ESTUFA (S)</v>
      </c>
      <c r="I108" s="25">
        <f t="shared" si="40"/>
        <v>75</v>
      </c>
      <c r="J108" s="32">
        <f t="shared" si="38"/>
        <v>15</v>
      </c>
      <c r="L108" s="27">
        <v>44788</v>
      </c>
      <c r="M108" s="28" t="s">
        <v>25</v>
      </c>
      <c r="N108" s="47" t="str">
        <f>IF(G108&lt;&gt;0,"Capturado","")</f>
        <v>Capturado</v>
      </c>
      <c r="O108" s="26" t="str">
        <f t="shared" si="33"/>
        <v>Capturado</v>
      </c>
      <c r="P108" s="77"/>
      <c r="Q108" s="2" t="str">
        <f t="shared" si="35"/>
        <v>Imprimir</v>
      </c>
      <c r="R108" s="2"/>
      <c r="S108" s="2">
        <v>92</v>
      </c>
      <c r="T108" s="64">
        <v>8</v>
      </c>
      <c r="U108" s="18" t="s">
        <v>15</v>
      </c>
      <c r="V108" s="18" t="s">
        <v>15</v>
      </c>
      <c r="W108" s="18" t="str">
        <f t="shared" si="27"/>
        <v>CAP</v>
      </c>
      <c r="X108" s="18" t="str">
        <f t="shared" si="28"/>
        <v>. 97 - NC</v>
      </c>
      <c r="Y108" s="18"/>
      <c r="AA108" s="22">
        <v>0</v>
      </c>
      <c r="AB108" s="29" t="str">
        <f t="shared" si="29"/>
        <v>Cambió</v>
      </c>
      <c r="AC108" s="30" t="s">
        <v>37</v>
      </c>
      <c r="AD108" s="29" t="s">
        <v>33</v>
      </c>
      <c r="AE108" s="29" t="s">
        <v>33</v>
      </c>
      <c r="AF108" s="11" t="s">
        <v>72</v>
      </c>
      <c r="AG108" s="31"/>
      <c r="AH108" s="31"/>
    </row>
    <row r="109" spans="1:34" s="26" customFormat="1" ht="93" customHeight="1" x14ac:dyDescent="0.25">
      <c r="A109" s="67">
        <v>98</v>
      </c>
      <c r="B109" s="82" t="s">
        <v>377</v>
      </c>
      <c r="C109" s="21" t="s">
        <v>476</v>
      </c>
      <c r="D109" s="22">
        <v>18600</v>
      </c>
      <c r="E109" s="23" t="str">
        <f t="shared" si="24"/>
        <v>GUANAJUATO</v>
      </c>
      <c r="F109" s="23" t="str">
        <f t="shared" si="25"/>
        <v>SAN FELIPE</v>
      </c>
      <c r="G109" s="66" t="s">
        <v>64</v>
      </c>
      <c r="H109" s="81" t="str">
        <f t="shared" si="39"/>
        <v>6
 ESTUFA (S)</v>
      </c>
      <c r="I109" s="25">
        <f t="shared" si="40"/>
        <v>30</v>
      </c>
      <c r="J109" s="32">
        <f t="shared" si="38"/>
        <v>6</v>
      </c>
      <c r="L109" s="27">
        <v>44788</v>
      </c>
      <c r="M109" s="28" t="s">
        <v>25</v>
      </c>
      <c r="N109" s="26" t="str">
        <f t="shared" ref="N109:N138" si="41">IF(G109&lt;&gt;0,"Capturado","")</f>
        <v>Capturado</v>
      </c>
      <c r="O109" s="26" t="str">
        <f t="shared" si="33"/>
        <v>Capturado</v>
      </c>
      <c r="P109" s="77"/>
      <c r="Q109" s="2" t="str">
        <f t="shared" si="35"/>
        <v>Imprimir</v>
      </c>
      <c r="R109" s="2"/>
      <c r="S109" s="2">
        <v>92</v>
      </c>
      <c r="T109" s="64">
        <v>12</v>
      </c>
      <c r="U109" s="18" t="s">
        <v>15</v>
      </c>
      <c r="V109" s="18" t="s">
        <v>15</v>
      </c>
      <c r="W109" s="18" t="str">
        <f t="shared" si="27"/>
        <v>CAP</v>
      </c>
      <c r="X109" s="18" t="str">
        <f t="shared" si="28"/>
        <v>. 98 - NC</v>
      </c>
      <c r="Y109" s="18"/>
      <c r="AA109" s="22">
        <v>0</v>
      </c>
      <c r="AB109" s="29" t="str">
        <f t="shared" si="29"/>
        <v>Cambió</v>
      </c>
      <c r="AC109" s="30" t="s">
        <v>37</v>
      </c>
      <c r="AD109" s="29" t="s">
        <v>33</v>
      </c>
      <c r="AE109" s="29" t="s">
        <v>33</v>
      </c>
      <c r="AF109" s="11" t="s">
        <v>72</v>
      </c>
      <c r="AG109" s="31"/>
      <c r="AH109" s="31"/>
    </row>
    <row r="110" spans="1:34" s="26" customFormat="1" ht="93" customHeight="1" x14ac:dyDescent="0.25">
      <c r="A110" s="67">
        <v>99</v>
      </c>
      <c r="B110" s="82" t="s">
        <v>377</v>
      </c>
      <c r="C110" s="21" t="s">
        <v>477</v>
      </c>
      <c r="D110" s="22">
        <v>31000</v>
      </c>
      <c r="E110" s="23" t="str">
        <f t="shared" si="24"/>
        <v>GUANAJUATO</v>
      </c>
      <c r="F110" s="23" t="str">
        <f t="shared" si="25"/>
        <v>SAN FELIPE</v>
      </c>
      <c r="G110" s="66" t="s">
        <v>346</v>
      </c>
      <c r="H110" s="81" t="str">
        <f t="shared" si="39"/>
        <v>10
 ESTUFA (S)</v>
      </c>
      <c r="I110" s="25">
        <f t="shared" si="40"/>
        <v>50</v>
      </c>
      <c r="J110" s="32">
        <f t="shared" si="38"/>
        <v>10</v>
      </c>
      <c r="L110" s="27">
        <v>44788</v>
      </c>
      <c r="M110" s="28" t="s">
        <v>25</v>
      </c>
      <c r="N110" s="26" t="str">
        <f t="shared" si="41"/>
        <v>Capturado</v>
      </c>
      <c r="O110" s="26" t="str">
        <f t="shared" si="33"/>
        <v>Capturado</v>
      </c>
      <c r="P110" s="77"/>
      <c r="Q110" s="2" t="str">
        <f t="shared" si="35"/>
        <v>Imprimir</v>
      </c>
      <c r="R110" s="2"/>
      <c r="S110" s="2">
        <v>92</v>
      </c>
      <c r="T110" s="64">
        <v>19</v>
      </c>
      <c r="U110" s="18" t="s">
        <v>15</v>
      </c>
      <c r="V110" s="18" t="s">
        <v>15</v>
      </c>
      <c r="W110" s="18" t="str">
        <f t="shared" si="27"/>
        <v>CAP</v>
      </c>
      <c r="X110" s="18" t="str">
        <f t="shared" si="28"/>
        <v>. 99 - NC</v>
      </c>
      <c r="Y110" s="18"/>
      <c r="AA110" s="22">
        <v>0</v>
      </c>
      <c r="AB110" s="29" t="str">
        <f t="shared" si="29"/>
        <v>Cambió</v>
      </c>
      <c r="AC110" s="30" t="s">
        <v>37</v>
      </c>
      <c r="AD110" s="29" t="s">
        <v>33</v>
      </c>
      <c r="AE110" s="29" t="s">
        <v>33</v>
      </c>
      <c r="AF110" s="11" t="s">
        <v>72</v>
      </c>
      <c r="AG110" s="31"/>
      <c r="AH110" s="31"/>
    </row>
    <row r="111" spans="1:34" s="26" customFormat="1" ht="93" customHeight="1" x14ac:dyDescent="0.25">
      <c r="A111" s="67">
        <v>100</v>
      </c>
      <c r="B111" s="82" t="s">
        <v>377</v>
      </c>
      <c r="C111" s="21" t="s">
        <v>478</v>
      </c>
      <c r="D111" s="22">
        <v>15500</v>
      </c>
      <c r="E111" s="23" t="str">
        <f t="shared" si="24"/>
        <v>GUANAJUATO</v>
      </c>
      <c r="F111" s="23" t="str">
        <f t="shared" si="25"/>
        <v>SAN FELIPE</v>
      </c>
      <c r="G111" s="66" t="s">
        <v>391</v>
      </c>
      <c r="H111" s="81" t="str">
        <f t="shared" si="39"/>
        <v>5
 ESTUFA (S)</v>
      </c>
      <c r="I111" s="25">
        <f t="shared" si="40"/>
        <v>25</v>
      </c>
      <c r="J111" s="32">
        <f t="shared" si="38"/>
        <v>5</v>
      </c>
      <c r="L111" s="27">
        <v>44788</v>
      </c>
      <c r="M111" s="28" t="s">
        <v>25</v>
      </c>
      <c r="N111" s="26" t="str">
        <f t="shared" si="41"/>
        <v>Capturado</v>
      </c>
      <c r="O111" s="26" t="str">
        <f t="shared" si="33"/>
        <v>Capturado</v>
      </c>
      <c r="P111" s="77"/>
      <c r="Q111" s="2" t="str">
        <f t="shared" si="35"/>
        <v>Imprimir</v>
      </c>
      <c r="R111" s="2"/>
      <c r="S111" s="2">
        <v>92</v>
      </c>
      <c r="T111" s="64">
        <v>39</v>
      </c>
      <c r="U111" s="18" t="s">
        <v>15</v>
      </c>
      <c r="V111" s="18" t="s">
        <v>15</v>
      </c>
      <c r="W111" s="18" t="str">
        <f t="shared" si="27"/>
        <v>CAP</v>
      </c>
      <c r="X111" s="18" t="str">
        <f t="shared" si="28"/>
        <v>. 100 - NC</v>
      </c>
      <c r="Y111" s="18"/>
      <c r="AA111" s="22">
        <v>0</v>
      </c>
      <c r="AB111" s="29" t="str">
        <f t="shared" si="29"/>
        <v>Cambió</v>
      </c>
      <c r="AC111" s="30" t="s">
        <v>37</v>
      </c>
      <c r="AD111" s="29" t="s">
        <v>33</v>
      </c>
      <c r="AE111" s="29" t="s">
        <v>33</v>
      </c>
      <c r="AF111" s="11" t="s">
        <v>72</v>
      </c>
      <c r="AG111" s="31"/>
      <c r="AH111" s="31"/>
    </row>
    <row r="112" spans="1:34" s="26" customFormat="1" ht="93" customHeight="1" x14ac:dyDescent="0.25">
      <c r="A112" s="67">
        <v>101</v>
      </c>
      <c r="B112" s="82" t="s">
        <v>377</v>
      </c>
      <c r="C112" s="21" t="s">
        <v>479</v>
      </c>
      <c r="D112" s="22">
        <v>15500</v>
      </c>
      <c r="E112" s="23" t="str">
        <f t="shared" si="24"/>
        <v>GUANAJUATO</v>
      </c>
      <c r="F112" s="23" t="str">
        <f t="shared" si="25"/>
        <v>SAN FELIPE</v>
      </c>
      <c r="G112" s="66" t="s">
        <v>636</v>
      </c>
      <c r="H112" s="81" t="str">
        <f t="shared" si="39"/>
        <v>5
 ESTUFA (S)</v>
      </c>
      <c r="I112" s="25">
        <f t="shared" si="40"/>
        <v>25</v>
      </c>
      <c r="J112" s="32">
        <f t="shared" si="38"/>
        <v>5</v>
      </c>
      <c r="L112" s="27">
        <v>44788</v>
      </c>
      <c r="M112" s="28" t="s">
        <v>25</v>
      </c>
      <c r="N112" s="26" t="str">
        <f t="shared" si="41"/>
        <v>Capturado</v>
      </c>
      <c r="O112" s="26" t="str">
        <f t="shared" si="33"/>
        <v>Capturado</v>
      </c>
      <c r="P112" s="77"/>
      <c r="Q112" s="2" t="str">
        <f t="shared" si="35"/>
        <v>Imprimir</v>
      </c>
      <c r="R112" s="2"/>
      <c r="S112" s="2">
        <v>92</v>
      </c>
      <c r="T112" s="64">
        <v>11</v>
      </c>
      <c r="U112" s="18" t="s">
        <v>15</v>
      </c>
      <c r="V112" s="18" t="s">
        <v>15</v>
      </c>
      <c r="W112" s="18" t="str">
        <f t="shared" si="27"/>
        <v>CAP</v>
      </c>
      <c r="X112" s="18" t="str">
        <f t="shared" si="28"/>
        <v>. 101 - NC</v>
      </c>
      <c r="Y112" s="18"/>
      <c r="AA112" s="22">
        <v>0</v>
      </c>
      <c r="AB112" s="29" t="str">
        <f t="shared" si="29"/>
        <v>Cambió</v>
      </c>
      <c r="AC112" s="30" t="s">
        <v>37</v>
      </c>
      <c r="AD112" s="29" t="s">
        <v>33</v>
      </c>
      <c r="AE112" s="29" t="s">
        <v>33</v>
      </c>
      <c r="AF112" s="11" t="s">
        <v>72</v>
      </c>
      <c r="AG112" s="31"/>
      <c r="AH112" s="31"/>
    </row>
    <row r="113" spans="1:34" s="26" customFormat="1" ht="93" customHeight="1" x14ac:dyDescent="0.25">
      <c r="A113" s="67">
        <v>102</v>
      </c>
      <c r="B113" s="82" t="s">
        <v>377</v>
      </c>
      <c r="C113" s="21" t="s">
        <v>264</v>
      </c>
      <c r="D113" s="22">
        <v>15500</v>
      </c>
      <c r="E113" s="23" t="str">
        <f t="shared" si="24"/>
        <v>GUANAJUATO</v>
      </c>
      <c r="F113" s="23" t="str">
        <f t="shared" si="25"/>
        <v>SAN FELIPE</v>
      </c>
      <c r="G113" s="66" t="s">
        <v>372</v>
      </c>
      <c r="H113" s="81" t="str">
        <f t="shared" si="39"/>
        <v>5
 ESTUFA (S)</v>
      </c>
      <c r="I113" s="25">
        <f t="shared" si="40"/>
        <v>25</v>
      </c>
      <c r="J113" s="32">
        <f t="shared" si="38"/>
        <v>5</v>
      </c>
      <c r="L113" s="27">
        <v>44788</v>
      </c>
      <c r="M113" s="28" t="s">
        <v>25</v>
      </c>
      <c r="N113" s="26" t="str">
        <f t="shared" si="41"/>
        <v>Capturado</v>
      </c>
      <c r="O113" s="26" t="str">
        <f t="shared" si="33"/>
        <v>Capturado</v>
      </c>
      <c r="P113" s="77"/>
      <c r="Q113" s="2" t="str">
        <f t="shared" si="35"/>
        <v>Imprimir</v>
      </c>
      <c r="R113" s="2"/>
      <c r="S113" s="2">
        <v>92</v>
      </c>
      <c r="T113" s="64">
        <v>20</v>
      </c>
      <c r="U113" s="18" t="s">
        <v>15</v>
      </c>
      <c r="V113" s="18" t="s">
        <v>15</v>
      </c>
      <c r="W113" s="18" t="str">
        <f t="shared" si="27"/>
        <v>CAP</v>
      </c>
      <c r="X113" s="18" t="str">
        <f t="shared" si="28"/>
        <v>. 102 - NC</v>
      </c>
      <c r="Y113" s="18"/>
      <c r="AA113" s="22">
        <v>0</v>
      </c>
      <c r="AB113" s="29" t="str">
        <f t="shared" si="29"/>
        <v>Cambió</v>
      </c>
      <c r="AC113" s="30" t="s">
        <v>37</v>
      </c>
      <c r="AD113" s="29" t="s">
        <v>33</v>
      </c>
      <c r="AE113" s="29" t="s">
        <v>33</v>
      </c>
      <c r="AF113" s="11" t="s">
        <v>72</v>
      </c>
      <c r="AG113" s="31"/>
      <c r="AH113" s="31"/>
    </row>
    <row r="114" spans="1:34" s="26" customFormat="1" ht="93" customHeight="1" x14ac:dyDescent="0.25">
      <c r="A114" s="67">
        <v>103</v>
      </c>
      <c r="B114" s="82" t="s">
        <v>377</v>
      </c>
      <c r="C114" s="21" t="s">
        <v>480</v>
      </c>
      <c r="D114" s="22">
        <v>31000</v>
      </c>
      <c r="E114" s="23" t="str">
        <f t="shared" si="24"/>
        <v>GUANAJUATO</v>
      </c>
      <c r="F114" s="23" t="str">
        <f t="shared" si="25"/>
        <v>SAN FELIPE</v>
      </c>
      <c r="G114" s="79" t="s">
        <v>637</v>
      </c>
      <c r="H114" s="81" t="str">
        <f t="shared" si="39"/>
        <v>10
 ESTUFA (S)</v>
      </c>
      <c r="I114" s="25">
        <f t="shared" si="40"/>
        <v>50</v>
      </c>
      <c r="J114" s="32">
        <f t="shared" si="38"/>
        <v>10</v>
      </c>
      <c r="L114" s="27">
        <v>44788</v>
      </c>
      <c r="M114" s="28" t="s">
        <v>25</v>
      </c>
      <c r="N114" s="26" t="str">
        <f t="shared" si="41"/>
        <v>Capturado</v>
      </c>
      <c r="O114" s="26" t="str">
        <f t="shared" si="33"/>
        <v>Capturado</v>
      </c>
      <c r="P114" s="77"/>
      <c r="Q114" s="2" t="str">
        <f t="shared" si="35"/>
        <v>Imprimir</v>
      </c>
      <c r="R114" s="2"/>
      <c r="S114" s="2">
        <v>92</v>
      </c>
      <c r="T114" s="64">
        <v>11</v>
      </c>
      <c r="U114" s="18" t="s">
        <v>15</v>
      </c>
      <c r="V114" s="18" t="s">
        <v>15</v>
      </c>
      <c r="W114" s="18" t="str">
        <f t="shared" si="27"/>
        <v>CAP</v>
      </c>
      <c r="X114" s="18" t="str">
        <f t="shared" si="28"/>
        <v>. 103 - NC</v>
      </c>
      <c r="Y114" s="18"/>
      <c r="AA114" s="22">
        <v>0</v>
      </c>
      <c r="AB114" s="29" t="str">
        <f t="shared" si="29"/>
        <v>Cambió</v>
      </c>
      <c r="AC114" s="30" t="s">
        <v>37</v>
      </c>
      <c r="AD114" s="29" t="s">
        <v>33</v>
      </c>
      <c r="AE114" s="29" t="s">
        <v>33</v>
      </c>
      <c r="AF114" s="11" t="s">
        <v>72</v>
      </c>
      <c r="AG114" s="31"/>
      <c r="AH114" s="31"/>
    </row>
    <row r="115" spans="1:34" s="26" customFormat="1" ht="93" customHeight="1" x14ac:dyDescent="0.25">
      <c r="A115" s="67">
        <v>104</v>
      </c>
      <c r="B115" s="82" t="s">
        <v>377</v>
      </c>
      <c r="C115" s="21" t="s">
        <v>266</v>
      </c>
      <c r="D115" s="22">
        <v>15500</v>
      </c>
      <c r="E115" s="23" t="str">
        <f t="shared" si="24"/>
        <v>GUANAJUATO</v>
      </c>
      <c r="F115" s="23" t="str">
        <f t="shared" si="25"/>
        <v>SAN FELIPE</v>
      </c>
      <c r="G115" s="66" t="s">
        <v>40</v>
      </c>
      <c r="H115" s="81" t="str">
        <f t="shared" si="39"/>
        <v>5
 ESTUFA (S)</v>
      </c>
      <c r="I115" s="25">
        <f t="shared" si="40"/>
        <v>25</v>
      </c>
      <c r="J115" s="32">
        <f t="shared" si="38"/>
        <v>5</v>
      </c>
      <c r="L115" s="27">
        <v>44788</v>
      </c>
      <c r="M115" s="28" t="s">
        <v>25</v>
      </c>
      <c r="N115" s="26" t="str">
        <f t="shared" si="41"/>
        <v>Capturado</v>
      </c>
      <c r="O115" s="26" t="str">
        <f t="shared" si="33"/>
        <v>Capturado</v>
      </c>
      <c r="P115" s="77"/>
      <c r="Q115" s="2" t="str">
        <f t="shared" si="35"/>
        <v>Imprimir</v>
      </c>
      <c r="R115" s="2"/>
      <c r="S115" s="2">
        <v>92</v>
      </c>
      <c r="T115" s="64">
        <v>11</v>
      </c>
      <c r="U115" s="18" t="s">
        <v>15</v>
      </c>
      <c r="V115" s="18" t="s">
        <v>15</v>
      </c>
      <c r="W115" s="18" t="str">
        <f t="shared" si="27"/>
        <v>CAP</v>
      </c>
      <c r="X115" s="18" t="str">
        <f t="shared" si="28"/>
        <v>. 104 - NC</v>
      </c>
      <c r="Y115" s="18"/>
      <c r="AA115" s="22">
        <v>0</v>
      </c>
      <c r="AB115" s="29" t="str">
        <f t="shared" si="29"/>
        <v>Cambió</v>
      </c>
      <c r="AC115" s="30" t="s">
        <v>37</v>
      </c>
      <c r="AD115" s="29" t="s">
        <v>33</v>
      </c>
      <c r="AE115" s="29" t="s">
        <v>33</v>
      </c>
      <c r="AF115" s="11" t="s">
        <v>72</v>
      </c>
      <c r="AG115" s="31"/>
      <c r="AH115" s="31"/>
    </row>
    <row r="116" spans="1:34" s="26" customFormat="1" ht="60" x14ac:dyDescent="0.25">
      <c r="A116" s="67">
        <v>105</v>
      </c>
      <c r="B116" s="82" t="s">
        <v>377</v>
      </c>
      <c r="C116" s="21" t="s">
        <v>481</v>
      </c>
      <c r="D116" s="22">
        <v>62000</v>
      </c>
      <c r="E116" s="23" t="str">
        <f t="shared" si="4"/>
        <v>GUANAJUATO</v>
      </c>
      <c r="F116" s="23" t="str">
        <f t="shared" si="5"/>
        <v>SAN FELIPE</v>
      </c>
      <c r="G116" s="66" t="s">
        <v>638</v>
      </c>
      <c r="H116" s="81" t="str">
        <f t="shared" si="39"/>
        <v>20
 ESTUFA (S)</v>
      </c>
      <c r="I116" s="25">
        <f t="shared" si="40"/>
        <v>100</v>
      </c>
      <c r="J116" s="32">
        <f t="shared" si="38"/>
        <v>20</v>
      </c>
      <c r="L116" s="27">
        <v>44788</v>
      </c>
      <c r="M116" s="28" t="s">
        <v>25</v>
      </c>
      <c r="N116" s="26" t="str">
        <f t="shared" si="41"/>
        <v>Capturado</v>
      </c>
      <c r="O116" s="26" t="str">
        <f t="shared" si="33"/>
        <v>Capturado</v>
      </c>
      <c r="P116" s="18"/>
      <c r="Q116" s="2" t="str">
        <f t="shared" si="35"/>
        <v>Imprimir</v>
      </c>
      <c r="R116" s="2"/>
      <c r="S116" s="2"/>
      <c r="T116" s="64"/>
      <c r="U116" s="18" t="s">
        <v>15</v>
      </c>
      <c r="V116" s="18" t="s">
        <v>15</v>
      </c>
      <c r="W116" s="18" t="str">
        <f t="shared" si="1"/>
        <v>CAP</v>
      </c>
      <c r="X116" s="18" t="str">
        <f t="shared" si="2"/>
        <v>. 105 - NC</v>
      </c>
      <c r="Y116" s="18"/>
      <c r="AA116" s="22">
        <v>0</v>
      </c>
      <c r="AB116" s="29" t="str">
        <f t="shared" si="3"/>
        <v>Cambió</v>
      </c>
      <c r="AC116" s="30" t="s">
        <v>37</v>
      </c>
      <c r="AD116" s="29" t="s">
        <v>33</v>
      </c>
      <c r="AE116" s="29" t="s">
        <v>33</v>
      </c>
      <c r="AF116" s="11" t="s">
        <v>72</v>
      </c>
      <c r="AG116" s="31"/>
      <c r="AH116" s="31"/>
    </row>
    <row r="117" spans="1:34" s="26" customFormat="1" ht="93" customHeight="1" x14ac:dyDescent="0.25">
      <c r="A117" s="67">
        <v>106</v>
      </c>
      <c r="B117" s="82" t="s">
        <v>377</v>
      </c>
      <c r="C117" s="21" t="s">
        <v>268</v>
      </c>
      <c r="D117" s="22">
        <v>18600</v>
      </c>
      <c r="E117" s="23" t="str">
        <f t="shared" si="4"/>
        <v>GUANAJUATO</v>
      </c>
      <c r="F117" s="23" t="str">
        <f t="shared" si="5"/>
        <v>SAN FELIPE</v>
      </c>
      <c r="G117" s="66" t="s">
        <v>344</v>
      </c>
      <c r="H117" s="81" t="str">
        <f t="shared" si="39"/>
        <v>6
 ESTUFA (S)</v>
      </c>
      <c r="I117" s="25">
        <f t="shared" si="40"/>
        <v>30</v>
      </c>
      <c r="J117" s="32">
        <f t="shared" si="38"/>
        <v>6</v>
      </c>
      <c r="L117" s="27">
        <v>44788</v>
      </c>
      <c r="M117" s="28" t="s">
        <v>25</v>
      </c>
      <c r="N117" s="26" t="str">
        <f t="shared" si="41"/>
        <v>Capturado</v>
      </c>
      <c r="O117" s="26" t="str">
        <f t="shared" si="33"/>
        <v>Capturado</v>
      </c>
      <c r="P117" s="77"/>
      <c r="Q117" s="2" t="str">
        <f t="shared" si="35"/>
        <v>Imprimir</v>
      </c>
      <c r="R117" s="2"/>
      <c r="S117" s="2">
        <v>79</v>
      </c>
      <c r="T117" s="64">
        <v>13</v>
      </c>
      <c r="U117" s="18" t="s">
        <v>15</v>
      </c>
      <c r="V117" s="18" t="s">
        <v>15</v>
      </c>
      <c r="W117" s="18" t="str">
        <f t="shared" si="1"/>
        <v>CAP</v>
      </c>
      <c r="X117" s="18" t="str">
        <f t="shared" si="2"/>
        <v>. 106 - NC</v>
      </c>
      <c r="Y117" s="18"/>
      <c r="AA117" s="22">
        <v>0</v>
      </c>
      <c r="AB117" s="29" t="str">
        <f t="shared" si="3"/>
        <v>Cambió</v>
      </c>
      <c r="AC117" s="30" t="s">
        <v>37</v>
      </c>
      <c r="AD117" s="29" t="s">
        <v>33</v>
      </c>
      <c r="AE117" s="29" t="s">
        <v>33</v>
      </c>
      <c r="AF117" s="11" t="s">
        <v>72</v>
      </c>
      <c r="AG117" s="31"/>
      <c r="AH117" s="31"/>
    </row>
    <row r="118" spans="1:34" s="26" customFormat="1" ht="93" customHeight="1" x14ac:dyDescent="0.25">
      <c r="A118" s="67">
        <v>107</v>
      </c>
      <c r="B118" s="82" t="s">
        <v>377</v>
      </c>
      <c r="C118" s="21" t="s">
        <v>482</v>
      </c>
      <c r="D118" s="22">
        <v>232500</v>
      </c>
      <c r="E118" s="23" t="str">
        <f t="shared" si="4"/>
        <v>GUANAJUATO</v>
      </c>
      <c r="F118" s="23" t="str">
        <f t="shared" si="5"/>
        <v>SAN FELIPE</v>
      </c>
      <c r="G118" s="66" t="s">
        <v>47</v>
      </c>
      <c r="H118" s="81" t="str">
        <f t="shared" si="39"/>
        <v>75
 ESTUFA (S)</v>
      </c>
      <c r="I118" s="25">
        <f t="shared" si="40"/>
        <v>375</v>
      </c>
      <c r="J118" s="32">
        <f t="shared" si="38"/>
        <v>75</v>
      </c>
      <c r="L118" s="27">
        <v>44788</v>
      </c>
      <c r="M118" s="28" t="s">
        <v>25</v>
      </c>
      <c r="N118" s="26" t="str">
        <f t="shared" si="41"/>
        <v>Capturado</v>
      </c>
      <c r="O118" s="26" t="str">
        <f t="shared" si="33"/>
        <v>Capturado</v>
      </c>
      <c r="P118" s="77"/>
      <c r="Q118" s="2" t="str">
        <f t="shared" si="35"/>
        <v>Imprimir</v>
      </c>
      <c r="R118" s="2"/>
      <c r="S118" s="2">
        <v>79</v>
      </c>
      <c r="T118" s="64">
        <v>18</v>
      </c>
      <c r="U118" s="18" t="s">
        <v>15</v>
      </c>
      <c r="V118" s="18" t="s">
        <v>15</v>
      </c>
      <c r="W118" s="18" t="str">
        <f t="shared" si="1"/>
        <v>CAP</v>
      </c>
      <c r="X118" s="18" t="str">
        <f t="shared" si="2"/>
        <v>. 107 - NC</v>
      </c>
      <c r="Y118" s="18"/>
      <c r="AA118" s="22">
        <v>0</v>
      </c>
      <c r="AB118" s="29" t="str">
        <f t="shared" si="3"/>
        <v>Cambió</v>
      </c>
      <c r="AC118" s="30" t="s">
        <v>37</v>
      </c>
      <c r="AD118" s="29" t="s">
        <v>33</v>
      </c>
      <c r="AE118" s="29" t="s">
        <v>33</v>
      </c>
      <c r="AF118" s="11" t="s">
        <v>72</v>
      </c>
      <c r="AG118" s="31"/>
      <c r="AH118" s="31"/>
    </row>
    <row r="119" spans="1:34" s="26" customFormat="1" ht="93" customHeight="1" x14ac:dyDescent="0.25">
      <c r="A119" s="67">
        <v>108</v>
      </c>
      <c r="B119" s="82" t="s">
        <v>377</v>
      </c>
      <c r="C119" s="21" t="s">
        <v>483</v>
      </c>
      <c r="D119" s="22">
        <v>62000</v>
      </c>
      <c r="E119" s="23" t="str">
        <f t="shared" si="4"/>
        <v>GUANAJUATO</v>
      </c>
      <c r="F119" s="23" t="str">
        <f t="shared" si="5"/>
        <v>SAN FELIPE</v>
      </c>
      <c r="G119" s="66" t="s">
        <v>62</v>
      </c>
      <c r="H119" s="81" t="str">
        <f t="shared" si="39"/>
        <v>20
 ESTUFA (S)</v>
      </c>
      <c r="I119" s="25">
        <f t="shared" si="40"/>
        <v>100</v>
      </c>
      <c r="J119" s="32">
        <f t="shared" si="38"/>
        <v>20</v>
      </c>
      <c r="L119" s="27">
        <v>44788</v>
      </c>
      <c r="M119" s="28" t="s">
        <v>25</v>
      </c>
      <c r="N119" s="26" t="str">
        <f t="shared" si="41"/>
        <v>Capturado</v>
      </c>
      <c r="O119" s="26" t="str">
        <f t="shared" si="33"/>
        <v>Capturado</v>
      </c>
      <c r="P119" s="77"/>
      <c r="Q119" s="2" t="str">
        <f t="shared" si="35"/>
        <v>Imprimir</v>
      </c>
      <c r="R119" s="2"/>
      <c r="S119" s="2">
        <v>79</v>
      </c>
      <c r="T119" s="64">
        <v>25</v>
      </c>
      <c r="U119" s="18" t="s">
        <v>15</v>
      </c>
      <c r="V119" s="18" t="s">
        <v>15</v>
      </c>
      <c r="W119" s="18" t="str">
        <f t="shared" si="1"/>
        <v>CAP</v>
      </c>
      <c r="X119" s="18" t="str">
        <f t="shared" si="2"/>
        <v>. 108 - NC</v>
      </c>
      <c r="Y119" s="18"/>
      <c r="AA119" s="22">
        <v>0</v>
      </c>
      <c r="AB119" s="29" t="str">
        <f t="shared" si="3"/>
        <v>Cambió</v>
      </c>
      <c r="AC119" s="30" t="s">
        <v>37</v>
      </c>
      <c r="AD119" s="29" t="s">
        <v>33</v>
      </c>
      <c r="AE119" s="29" t="s">
        <v>33</v>
      </c>
      <c r="AF119" s="11" t="s">
        <v>72</v>
      </c>
      <c r="AG119" s="31"/>
      <c r="AH119" s="31"/>
    </row>
    <row r="120" spans="1:34" s="26" customFormat="1" ht="93" customHeight="1" x14ac:dyDescent="0.25">
      <c r="A120" s="67">
        <v>109</v>
      </c>
      <c r="B120" s="82" t="s">
        <v>377</v>
      </c>
      <c r="C120" s="21" t="s">
        <v>257</v>
      </c>
      <c r="D120" s="22">
        <v>46500</v>
      </c>
      <c r="E120" s="23" t="str">
        <f t="shared" si="4"/>
        <v>GUANAJUATO</v>
      </c>
      <c r="F120" s="23" t="str">
        <f t="shared" si="5"/>
        <v>SAN FELIPE</v>
      </c>
      <c r="G120" s="66" t="s">
        <v>351</v>
      </c>
      <c r="H120" s="81" t="str">
        <f t="shared" si="39"/>
        <v>15
 ESTUFA (S)</v>
      </c>
      <c r="I120" s="25">
        <f t="shared" si="40"/>
        <v>75</v>
      </c>
      <c r="J120" s="32">
        <f t="shared" si="38"/>
        <v>15</v>
      </c>
      <c r="L120" s="27">
        <v>44788</v>
      </c>
      <c r="M120" s="28" t="s">
        <v>25</v>
      </c>
      <c r="N120" s="26" t="str">
        <f t="shared" si="41"/>
        <v>Capturado</v>
      </c>
      <c r="O120" s="26" t="str">
        <f t="shared" si="33"/>
        <v>Capturado</v>
      </c>
      <c r="P120" s="77"/>
      <c r="Q120" s="2" t="str">
        <f t="shared" si="35"/>
        <v>Imprimir</v>
      </c>
      <c r="R120" s="2"/>
      <c r="S120" s="2">
        <v>79</v>
      </c>
      <c r="T120" s="64">
        <v>42</v>
      </c>
      <c r="U120" s="18" t="s">
        <v>15</v>
      </c>
      <c r="V120" s="18" t="s">
        <v>15</v>
      </c>
      <c r="W120" s="18" t="str">
        <f t="shared" si="1"/>
        <v>CAP</v>
      </c>
      <c r="X120" s="18" t="str">
        <f t="shared" si="2"/>
        <v>. 109 - NC</v>
      </c>
      <c r="Y120" s="18"/>
      <c r="AA120" s="22">
        <v>0</v>
      </c>
      <c r="AB120" s="29" t="str">
        <f t="shared" si="3"/>
        <v>Cambió</v>
      </c>
      <c r="AC120" s="30" t="s">
        <v>37</v>
      </c>
      <c r="AD120" s="29" t="s">
        <v>33</v>
      </c>
      <c r="AE120" s="29" t="s">
        <v>33</v>
      </c>
      <c r="AF120" s="11" t="s">
        <v>72</v>
      </c>
      <c r="AG120" s="31"/>
      <c r="AH120" s="31"/>
    </row>
    <row r="121" spans="1:34" s="26" customFormat="1" ht="93" customHeight="1" x14ac:dyDescent="0.25">
      <c r="A121" s="67">
        <v>110</v>
      </c>
      <c r="B121" s="82" t="s">
        <v>377</v>
      </c>
      <c r="C121" s="21" t="s">
        <v>484</v>
      </c>
      <c r="D121" s="22">
        <v>46500</v>
      </c>
      <c r="E121" s="23" t="str">
        <f t="shared" si="4"/>
        <v>GUANAJUATO</v>
      </c>
      <c r="F121" s="23" t="str">
        <f t="shared" si="5"/>
        <v>SAN FELIPE</v>
      </c>
      <c r="G121" s="66" t="s">
        <v>326</v>
      </c>
      <c r="H121" s="81" t="str">
        <f t="shared" si="39"/>
        <v>15
 ESTUFA (S)</v>
      </c>
      <c r="I121" s="25">
        <f t="shared" si="40"/>
        <v>75</v>
      </c>
      <c r="J121" s="32">
        <f t="shared" si="38"/>
        <v>15</v>
      </c>
      <c r="L121" s="27">
        <v>44788</v>
      </c>
      <c r="M121" s="28" t="s">
        <v>25</v>
      </c>
      <c r="N121" s="26" t="str">
        <f t="shared" si="41"/>
        <v>Capturado</v>
      </c>
      <c r="O121" s="26" t="str">
        <f t="shared" si="33"/>
        <v>Capturado</v>
      </c>
      <c r="P121" s="77"/>
      <c r="Q121" s="2" t="str">
        <f t="shared" si="35"/>
        <v>Imprimir</v>
      </c>
      <c r="R121" s="2"/>
      <c r="S121" s="2">
        <v>79</v>
      </c>
      <c r="T121" s="64">
        <v>10</v>
      </c>
      <c r="U121" s="18" t="s">
        <v>15</v>
      </c>
      <c r="V121" s="18" t="s">
        <v>15</v>
      </c>
      <c r="W121" s="18" t="str">
        <f t="shared" si="1"/>
        <v>CAP</v>
      </c>
      <c r="X121" s="18" t="str">
        <f t="shared" si="2"/>
        <v>. 110 - NC</v>
      </c>
      <c r="Y121" s="18"/>
      <c r="AA121" s="22">
        <v>0</v>
      </c>
      <c r="AB121" s="29" t="str">
        <f t="shared" si="3"/>
        <v>Cambió</v>
      </c>
      <c r="AC121" s="30" t="s">
        <v>37</v>
      </c>
      <c r="AD121" s="29" t="s">
        <v>33</v>
      </c>
      <c r="AE121" s="29" t="s">
        <v>33</v>
      </c>
      <c r="AF121" s="11" t="s">
        <v>72</v>
      </c>
      <c r="AG121" s="31"/>
      <c r="AH121" s="31"/>
    </row>
    <row r="122" spans="1:34" s="26" customFormat="1" ht="93" customHeight="1" x14ac:dyDescent="0.25">
      <c r="A122" s="67">
        <v>111</v>
      </c>
      <c r="B122" s="82" t="s">
        <v>377</v>
      </c>
      <c r="C122" s="21" t="s">
        <v>485</v>
      </c>
      <c r="D122" s="22">
        <v>31000</v>
      </c>
      <c r="E122" s="23" t="str">
        <f t="shared" si="4"/>
        <v>GUANAJUATO</v>
      </c>
      <c r="F122" s="23" t="str">
        <f t="shared" si="5"/>
        <v>SAN FELIPE</v>
      </c>
      <c r="G122" s="66" t="s">
        <v>42</v>
      </c>
      <c r="H122" s="81" t="str">
        <f t="shared" si="39"/>
        <v>10
 ESTUFA (S)</v>
      </c>
      <c r="I122" s="25">
        <f t="shared" si="40"/>
        <v>50</v>
      </c>
      <c r="J122" s="32">
        <f t="shared" si="38"/>
        <v>10</v>
      </c>
      <c r="L122" s="27">
        <v>44788</v>
      </c>
      <c r="M122" s="28" t="s">
        <v>25</v>
      </c>
      <c r="N122" s="26" t="str">
        <f t="shared" si="41"/>
        <v>Capturado</v>
      </c>
      <c r="O122" s="26" t="str">
        <f t="shared" si="33"/>
        <v>Capturado</v>
      </c>
      <c r="P122" s="77"/>
      <c r="Q122" s="2" t="str">
        <f t="shared" si="35"/>
        <v>Imprimir</v>
      </c>
      <c r="R122" s="2"/>
      <c r="S122" s="2">
        <v>79</v>
      </c>
      <c r="T122" s="64">
        <v>39</v>
      </c>
      <c r="U122" s="18" t="s">
        <v>15</v>
      </c>
      <c r="V122" s="18" t="s">
        <v>15</v>
      </c>
      <c r="W122" s="18" t="str">
        <f t="shared" si="1"/>
        <v>CAP</v>
      </c>
      <c r="X122" s="18" t="str">
        <f t="shared" si="2"/>
        <v>. 111 - NC</v>
      </c>
      <c r="Y122" s="18"/>
      <c r="AA122" s="22">
        <v>0</v>
      </c>
      <c r="AB122" s="29" t="str">
        <f t="shared" si="3"/>
        <v>Cambió</v>
      </c>
      <c r="AC122" s="30" t="s">
        <v>37</v>
      </c>
      <c r="AD122" s="29" t="s">
        <v>33</v>
      </c>
      <c r="AE122" s="29" t="s">
        <v>33</v>
      </c>
      <c r="AF122" s="11" t="s">
        <v>72</v>
      </c>
      <c r="AG122" s="31"/>
      <c r="AH122" s="31"/>
    </row>
    <row r="123" spans="1:34" s="26" customFormat="1" ht="93" customHeight="1" x14ac:dyDescent="0.25">
      <c r="A123" s="67">
        <v>112</v>
      </c>
      <c r="B123" s="82" t="s">
        <v>377</v>
      </c>
      <c r="C123" s="21" t="s">
        <v>486</v>
      </c>
      <c r="D123" s="22">
        <v>31000</v>
      </c>
      <c r="E123" s="23" t="str">
        <f t="shared" si="4"/>
        <v>GUANAJUATO</v>
      </c>
      <c r="F123" s="23" t="str">
        <f t="shared" si="5"/>
        <v>SAN FELIPE</v>
      </c>
      <c r="G123" s="66" t="s">
        <v>639</v>
      </c>
      <c r="H123" s="81" t="str">
        <f t="shared" si="39"/>
        <v>10
 ESTUFA (S)</v>
      </c>
      <c r="I123" s="25">
        <f t="shared" si="40"/>
        <v>50</v>
      </c>
      <c r="J123" s="32">
        <f t="shared" si="38"/>
        <v>10</v>
      </c>
      <c r="L123" s="27">
        <v>44788</v>
      </c>
      <c r="M123" s="28" t="s">
        <v>25</v>
      </c>
      <c r="N123" s="26" t="str">
        <f t="shared" si="41"/>
        <v>Capturado</v>
      </c>
      <c r="O123" s="26" t="str">
        <f t="shared" si="33"/>
        <v>Capturado</v>
      </c>
      <c r="P123" s="77"/>
      <c r="Q123" s="2" t="str">
        <f t="shared" si="35"/>
        <v>Imprimir</v>
      </c>
      <c r="R123" s="2"/>
      <c r="S123" s="2">
        <v>79</v>
      </c>
      <c r="T123" s="64">
        <v>11</v>
      </c>
      <c r="U123" s="18" t="s">
        <v>15</v>
      </c>
      <c r="V123" s="18" t="s">
        <v>15</v>
      </c>
      <c r="W123" s="18" t="str">
        <f t="shared" si="1"/>
        <v>CAP</v>
      </c>
      <c r="X123" s="18" t="str">
        <f t="shared" si="2"/>
        <v>. 112 - NC</v>
      </c>
      <c r="Y123" s="18"/>
      <c r="AA123" s="22">
        <v>0</v>
      </c>
      <c r="AB123" s="29" t="str">
        <f t="shared" si="3"/>
        <v>Cambió</v>
      </c>
      <c r="AC123" s="30" t="s">
        <v>37</v>
      </c>
      <c r="AD123" s="29" t="s">
        <v>33</v>
      </c>
      <c r="AE123" s="29" t="s">
        <v>33</v>
      </c>
      <c r="AF123" s="11" t="s">
        <v>72</v>
      </c>
      <c r="AG123" s="31"/>
      <c r="AH123" s="31"/>
    </row>
    <row r="124" spans="1:34" s="26" customFormat="1" ht="93" customHeight="1" x14ac:dyDescent="0.25">
      <c r="A124" s="67">
        <v>113</v>
      </c>
      <c r="B124" s="82" t="s">
        <v>377</v>
      </c>
      <c r="C124" s="21" t="s">
        <v>273</v>
      </c>
      <c r="D124" s="22">
        <v>124000</v>
      </c>
      <c r="E124" s="23" t="str">
        <f t="shared" si="4"/>
        <v>GUANAJUATO</v>
      </c>
      <c r="F124" s="23" t="str">
        <f t="shared" si="5"/>
        <v>SAN FELIPE</v>
      </c>
      <c r="G124" s="80" t="s">
        <v>362</v>
      </c>
      <c r="H124" s="81" t="str">
        <f t="shared" si="39"/>
        <v>40
 ESTUFA (S)</v>
      </c>
      <c r="I124" s="25">
        <f t="shared" si="40"/>
        <v>200</v>
      </c>
      <c r="J124" s="32">
        <f t="shared" si="38"/>
        <v>40</v>
      </c>
      <c r="L124" s="27">
        <v>44788</v>
      </c>
      <c r="M124" s="28" t="s">
        <v>25</v>
      </c>
      <c r="N124" s="26" t="str">
        <f t="shared" si="41"/>
        <v>Capturado</v>
      </c>
      <c r="O124" s="26" t="str">
        <f t="shared" si="33"/>
        <v>Capturado</v>
      </c>
      <c r="P124" s="77"/>
      <c r="Q124" s="2" t="str">
        <f t="shared" si="35"/>
        <v>Imprimir</v>
      </c>
      <c r="R124" s="2"/>
      <c r="S124" s="2">
        <v>79</v>
      </c>
      <c r="T124" s="64">
        <v>9</v>
      </c>
      <c r="U124" s="18" t="s">
        <v>15</v>
      </c>
      <c r="V124" s="18" t="s">
        <v>15</v>
      </c>
      <c r="W124" s="18" t="str">
        <f t="shared" si="1"/>
        <v>CAP</v>
      </c>
      <c r="X124" s="18" t="str">
        <f t="shared" si="2"/>
        <v>. 113 - NC</v>
      </c>
      <c r="Y124" s="18"/>
      <c r="AA124" s="22">
        <v>0</v>
      </c>
      <c r="AB124" s="29" t="str">
        <f t="shared" si="3"/>
        <v>Cambió</v>
      </c>
      <c r="AC124" s="30" t="s">
        <v>37</v>
      </c>
      <c r="AD124" s="29" t="s">
        <v>33</v>
      </c>
      <c r="AE124" s="29" t="s">
        <v>33</v>
      </c>
      <c r="AF124" s="11" t="s">
        <v>72</v>
      </c>
      <c r="AG124" s="31"/>
      <c r="AH124" s="31"/>
    </row>
    <row r="125" spans="1:34" s="26" customFormat="1" ht="93" customHeight="1" x14ac:dyDescent="0.25">
      <c r="A125" s="67">
        <v>114</v>
      </c>
      <c r="B125" s="82" t="s">
        <v>377</v>
      </c>
      <c r="C125" s="21" t="s">
        <v>487</v>
      </c>
      <c r="D125" s="22">
        <v>62000</v>
      </c>
      <c r="E125" s="23" t="str">
        <f t="shared" si="4"/>
        <v>GUANAJUATO</v>
      </c>
      <c r="F125" s="23" t="str">
        <f t="shared" si="5"/>
        <v>SAN FELIPE</v>
      </c>
      <c r="G125" s="66" t="s">
        <v>640</v>
      </c>
      <c r="H125" s="81" t="str">
        <f t="shared" si="39"/>
        <v>20
 ESTUFA (S)</v>
      </c>
      <c r="I125" s="25">
        <f t="shared" si="40"/>
        <v>100</v>
      </c>
      <c r="J125" s="32">
        <f t="shared" si="38"/>
        <v>20</v>
      </c>
      <c r="L125" s="27">
        <v>44788</v>
      </c>
      <c r="M125" s="28" t="s">
        <v>25</v>
      </c>
      <c r="N125" s="26" t="str">
        <f t="shared" si="41"/>
        <v>Capturado</v>
      </c>
      <c r="O125" s="26" t="str">
        <f t="shared" si="33"/>
        <v>Capturado</v>
      </c>
      <c r="P125" s="77"/>
      <c r="Q125" s="2" t="str">
        <f t="shared" si="35"/>
        <v>Imprimir</v>
      </c>
      <c r="R125" s="2"/>
      <c r="S125" s="2">
        <v>79</v>
      </c>
      <c r="T125" s="64">
        <v>20</v>
      </c>
      <c r="U125" s="18" t="s">
        <v>15</v>
      </c>
      <c r="V125" s="18" t="s">
        <v>15</v>
      </c>
      <c r="W125" s="18" t="str">
        <f t="shared" si="1"/>
        <v>CAP</v>
      </c>
      <c r="X125" s="18" t="str">
        <f t="shared" si="2"/>
        <v>. 114 - NC</v>
      </c>
      <c r="Y125" s="18"/>
      <c r="AA125" s="22">
        <v>0</v>
      </c>
      <c r="AB125" s="29" t="str">
        <f t="shared" si="3"/>
        <v>Cambió</v>
      </c>
      <c r="AC125" s="30" t="s">
        <v>37</v>
      </c>
      <c r="AD125" s="29" t="s">
        <v>33</v>
      </c>
      <c r="AE125" s="29" t="s">
        <v>33</v>
      </c>
      <c r="AF125" s="11" t="s">
        <v>72</v>
      </c>
      <c r="AG125" s="31"/>
      <c r="AH125" s="31"/>
    </row>
    <row r="126" spans="1:34" s="26" customFormat="1" ht="93" customHeight="1" x14ac:dyDescent="0.25">
      <c r="A126" s="67">
        <v>115</v>
      </c>
      <c r="B126" s="82" t="s">
        <v>377</v>
      </c>
      <c r="C126" s="21" t="s">
        <v>488</v>
      </c>
      <c r="D126" s="22">
        <v>93000</v>
      </c>
      <c r="E126" s="23" t="str">
        <f t="shared" si="4"/>
        <v>GUANAJUATO</v>
      </c>
      <c r="F126" s="23" t="str">
        <f t="shared" si="5"/>
        <v>SAN FELIPE</v>
      </c>
      <c r="G126" s="66" t="s">
        <v>630</v>
      </c>
      <c r="H126" s="81" t="str">
        <f t="shared" si="39"/>
        <v>30
 ESTUFA (S)</v>
      </c>
      <c r="I126" s="25">
        <f t="shared" si="40"/>
        <v>150</v>
      </c>
      <c r="J126" s="32">
        <f t="shared" si="38"/>
        <v>30</v>
      </c>
      <c r="L126" s="27">
        <v>44788</v>
      </c>
      <c r="M126" s="28" t="s">
        <v>25</v>
      </c>
      <c r="N126" s="26" t="str">
        <f t="shared" si="41"/>
        <v>Capturado</v>
      </c>
      <c r="O126" s="26" t="str">
        <f t="shared" si="33"/>
        <v>Capturado</v>
      </c>
      <c r="P126" s="77"/>
      <c r="Q126" s="2" t="str">
        <f t="shared" si="35"/>
        <v>Imprimir</v>
      </c>
      <c r="R126" s="2"/>
      <c r="S126" s="2">
        <v>79</v>
      </c>
      <c r="T126" s="64">
        <v>20</v>
      </c>
      <c r="U126" s="18" t="s">
        <v>15</v>
      </c>
      <c r="V126" s="18" t="s">
        <v>15</v>
      </c>
      <c r="W126" s="18" t="str">
        <f t="shared" si="1"/>
        <v>CAP</v>
      </c>
      <c r="X126" s="18" t="str">
        <f t="shared" si="2"/>
        <v>. 115 - NC</v>
      </c>
      <c r="Y126" s="18"/>
      <c r="AA126" s="22">
        <v>0</v>
      </c>
      <c r="AB126" s="29" t="str">
        <f t="shared" si="3"/>
        <v>Cambió</v>
      </c>
      <c r="AC126" s="30" t="s">
        <v>37</v>
      </c>
      <c r="AD126" s="29" t="s">
        <v>33</v>
      </c>
      <c r="AE126" s="29" t="s">
        <v>33</v>
      </c>
      <c r="AF126" s="11" t="s">
        <v>72</v>
      </c>
      <c r="AG126" s="31"/>
      <c r="AH126" s="31"/>
    </row>
    <row r="127" spans="1:34" s="26" customFormat="1" ht="63.75" customHeight="1" x14ac:dyDescent="0.25">
      <c r="A127" s="67">
        <v>116</v>
      </c>
      <c r="B127" s="82" t="s">
        <v>377</v>
      </c>
      <c r="C127" s="21" t="s">
        <v>489</v>
      </c>
      <c r="D127" s="22">
        <v>31000</v>
      </c>
      <c r="E127" s="23" t="str">
        <f t="shared" si="4"/>
        <v>GUANAJUATO</v>
      </c>
      <c r="F127" s="23" t="str">
        <f t="shared" si="5"/>
        <v>SAN FELIPE</v>
      </c>
      <c r="G127" s="66" t="s">
        <v>641</v>
      </c>
      <c r="H127" s="81" t="str">
        <f t="shared" si="39"/>
        <v>10
 ESTUFA (S)</v>
      </c>
      <c r="I127" s="25">
        <f t="shared" si="40"/>
        <v>50</v>
      </c>
      <c r="J127" s="32">
        <f t="shared" si="38"/>
        <v>10</v>
      </c>
      <c r="L127" s="27">
        <v>44788</v>
      </c>
      <c r="M127" s="28" t="s">
        <v>25</v>
      </c>
      <c r="N127" s="26" t="str">
        <f t="shared" si="41"/>
        <v>Capturado</v>
      </c>
      <c r="O127" s="26" t="str">
        <f t="shared" si="33"/>
        <v>Capturado</v>
      </c>
      <c r="P127" s="18"/>
      <c r="Q127" s="2" t="str">
        <f t="shared" si="35"/>
        <v>Imprimir</v>
      </c>
      <c r="R127" s="2"/>
      <c r="S127" s="2"/>
      <c r="T127" s="64"/>
      <c r="U127" s="18" t="s">
        <v>15</v>
      </c>
      <c r="V127" s="18" t="s">
        <v>15</v>
      </c>
      <c r="W127" s="18" t="str">
        <f t="shared" si="1"/>
        <v>CAP</v>
      </c>
      <c r="X127" s="18" t="str">
        <f t="shared" si="2"/>
        <v>. 116 - NC</v>
      </c>
      <c r="Y127" s="18"/>
      <c r="AA127" s="22">
        <v>0</v>
      </c>
      <c r="AB127" s="29" t="str">
        <f t="shared" si="3"/>
        <v>Cambió</v>
      </c>
      <c r="AC127" s="30" t="s">
        <v>37</v>
      </c>
      <c r="AD127" s="29" t="s">
        <v>33</v>
      </c>
      <c r="AE127" s="29" t="s">
        <v>33</v>
      </c>
      <c r="AF127" s="11" t="s">
        <v>72</v>
      </c>
      <c r="AG127" s="31"/>
      <c r="AH127" s="31"/>
    </row>
    <row r="128" spans="1:34" s="26" customFormat="1" ht="45" x14ac:dyDescent="0.25">
      <c r="A128" s="67">
        <v>117</v>
      </c>
      <c r="B128" s="82" t="s">
        <v>377</v>
      </c>
      <c r="C128" s="21" t="s">
        <v>490</v>
      </c>
      <c r="D128" s="22">
        <v>24800</v>
      </c>
      <c r="E128" s="23" t="str">
        <f t="shared" si="4"/>
        <v>GUANAJUATO</v>
      </c>
      <c r="F128" s="23" t="str">
        <f>IF(D128&gt;0,"SAN FELIPE","")</f>
        <v>SAN FELIPE</v>
      </c>
      <c r="G128" s="66" t="s">
        <v>328</v>
      </c>
      <c r="H128" s="81" t="str">
        <f t="shared" si="39"/>
        <v>8
 ESTUFA (S)</v>
      </c>
      <c r="I128" s="25">
        <f t="shared" si="40"/>
        <v>40</v>
      </c>
      <c r="J128" s="32">
        <f t="shared" si="38"/>
        <v>8</v>
      </c>
      <c r="L128" s="27">
        <v>44788</v>
      </c>
      <c r="M128" s="28" t="s">
        <v>25</v>
      </c>
      <c r="N128" s="26" t="str">
        <f t="shared" si="41"/>
        <v>Capturado</v>
      </c>
      <c r="O128" s="26" t="str">
        <f t="shared" si="33"/>
        <v>Capturado</v>
      </c>
      <c r="P128" s="18"/>
      <c r="Q128" s="2" t="str">
        <f t="shared" si="35"/>
        <v>Imprimir</v>
      </c>
      <c r="R128" s="2"/>
      <c r="S128" s="2"/>
      <c r="T128" s="64"/>
      <c r="U128" s="18" t="s">
        <v>15</v>
      </c>
      <c r="V128" s="18" t="s">
        <v>15</v>
      </c>
      <c r="W128" s="18" t="str">
        <f t="shared" si="1"/>
        <v>CAP</v>
      </c>
      <c r="X128" s="18" t="str">
        <f t="shared" si="2"/>
        <v>. 117 - NC</v>
      </c>
      <c r="Y128" s="18"/>
      <c r="AA128" s="22">
        <v>0</v>
      </c>
      <c r="AB128" s="29" t="str">
        <f t="shared" si="3"/>
        <v>Cambió</v>
      </c>
      <c r="AC128" s="30" t="s">
        <v>37</v>
      </c>
      <c r="AD128" s="29" t="s">
        <v>33</v>
      </c>
      <c r="AE128" s="29" t="s">
        <v>33</v>
      </c>
      <c r="AF128" s="11" t="s">
        <v>72</v>
      </c>
      <c r="AG128" s="31"/>
      <c r="AH128" s="31"/>
    </row>
    <row r="129" spans="1:34" s="26" customFormat="1" ht="93" customHeight="1" x14ac:dyDescent="0.25">
      <c r="A129" s="67">
        <v>118</v>
      </c>
      <c r="B129" s="82" t="s">
        <v>377</v>
      </c>
      <c r="C129" s="21" t="s">
        <v>491</v>
      </c>
      <c r="D129" s="22">
        <v>21700</v>
      </c>
      <c r="E129" s="23" t="str">
        <f t="shared" si="4"/>
        <v>GUANAJUATO</v>
      </c>
      <c r="F129" s="23" t="str">
        <f t="shared" si="5"/>
        <v>SAN FELIPE</v>
      </c>
      <c r="G129" s="66" t="s">
        <v>642</v>
      </c>
      <c r="H129" s="81" t="str">
        <f t="shared" si="39"/>
        <v>7
 ESTUFA (S)</v>
      </c>
      <c r="I129" s="25">
        <f t="shared" si="40"/>
        <v>35</v>
      </c>
      <c r="J129" s="32">
        <f t="shared" si="38"/>
        <v>7</v>
      </c>
      <c r="L129" s="27">
        <v>44788</v>
      </c>
      <c r="M129" s="28" t="s">
        <v>25</v>
      </c>
      <c r="N129" s="26" t="str">
        <f t="shared" si="41"/>
        <v>Capturado</v>
      </c>
      <c r="O129" s="26" t="str">
        <f t="shared" si="33"/>
        <v>Capturado</v>
      </c>
      <c r="P129" s="77"/>
      <c r="Q129" s="2" t="str">
        <f t="shared" si="35"/>
        <v>Imprimir</v>
      </c>
      <c r="R129" s="2"/>
      <c r="S129" s="2">
        <v>92</v>
      </c>
      <c r="T129" s="64">
        <v>11</v>
      </c>
      <c r="U129" s="18" t="s">
        <v>15</v>
      </c>
      <c r="V129" s="18" t="s">
        <v>15</v>
      </c>
      <c r="W129" s="18" t="str">
        <f t="shared" si="1"/>
        <v>CAP</v>
      </c>
      <c r="X129" s="18" t="str">
        <f t="shared" si="2"/>
        <v>. 118 - NC</v>
      </c>
      <c r="Y129" s="18"/>
      <c r="AA129" s="22">
        <v>0</v>
      </c>
      <c r="AB129" s="29" t="str">
        <f t="shared" si="3"/>
        <v>Cambió</v>
      </c>
      <c r="AC129" s="30" t="s">
        <v>37</v>
      </c>
      <c r="AD129" s="29" t="s">
        <v>33</v>
      </c>
      <c r="AE129" s="29" t="s">
        <v>33</v>
      </c>
      <c r="AF129" s="11" t="s">
        <v>72</v>
      </c>
      <c r="AG129" s="31"/>
      <c r="AH129" s="31"/>
    </row>
    <row r="130" spans="1:34" s="26" customFormat="1" ht="93" customHeight="1" x14ac:dyDescent="0.25">
      <c r="A130" s="67">
        <v>119</v>
      </c>
      <c r="B130" s="82" t="s">
        <v>377</v>
      </c>
      <c r="C130" s="21" t="s">
        <v>262</v>
      </c>
      <c r="D130" s="22">
        <v>31000</v>
      </c>
      <c r="E130" s="23" t="str">
        <f t="shared" si="4"/>
        <v>GUANAJUATO</v>
      </c>
      <c r="F130" s="23" t="str">
        <f t="shared" si="5"/>
        <v>SAN FELIPE</v>
      </c>
      <c r="G130" s="66" t="s">
        <v>375</v>
      </c>
      <c r="H130" s="81" t="str">
        <f t="shared" si="39"/>
        <v>10
 ESTUFA (S)</v>
      </c>
      <c r="I130" s="25">
        <f t="shared" si="40"/>
        <v>50</v>
      </c>
      <c r="J130" s="32">
        <f t="shared" si="38"/>
        <v>10</v>
      </c>
      <c r="L130" s="27">
        <v>44788</v>
      </c>
      <c r="M130" s="28" t="s">
        <v>25</v>
      </c>
      <c r="N130" s="26" t="str">
        <f t="shared" si="41"/>
        <v>Capturado</v>
      </c>
      <c r="O130" s="26" t="str">
        <f t="shared" si="33"/>
        <v>Capturado</v>
      </c>
      <c r="P130" s="77"/>
      <c r="Q130" s="2" t="str">
        <f t="shared" si="35"/>
        <v>Imprimir</v>
      </c>
      <c r="R130" s="2"/>
      <c r="S130" s="2">
        <v>62</v>
      </c>
      <c r="T130" s="64">
        <v>23</v>
      </c>
      <c r="U130" s="18" t="s">
        <v>15</v>
      </c>
      <c r="V130" s="18" t="s">
        <v>15</v>
      </c>
      <c r="W130" s="18" t="str">
        <f t="shared" si="1"/>
        <v>CAP</v>
      </c>
      <c r="X130" s="18" t="str">
        <f t="shared" si="2"/>
        <v>. 119 - NC</v>
      </c>
      <c r="Y130" s="18"/>
      <c r="AA130" s="22">
        <v>0</v>
      </c>
      <c r="AB130" s="29" t="str">
        <f t="shared" si="3"/>
        <v>Cambió</v>
      </c>
      <c r="AC130" s="30" t="s">
        <v>37</v>
      </c>
      <c r="AD130" s="29" t="s">
        <v>33</v>
      </c>
      <c r="AE130" s="29" t="s">
        <v>33</v>
      </c>
      <c r="AF130" s="11" t="s">
        <v>72</v>
      </c>
      <c r="AG130" s="31"/>
      <c r="AH130" s="31"/>
    </row>
    <row r="131" spans="1:34" s="26" customFormat="1" ht="93" customHeight="1" x14ac:dyDescent="0.25">
      <c r="A131" s="67">
        <v>120</v>
      </c>
      <c r="B131" s="82" t="s">
        <v>377</v>
      </c>
      <c r="C131" s="21" t="s">
        <v>492</v>
      </c>
      <c r="D131" s="22">
        <v>15500</v>
      </c>
      <c r="E131" s="23" t="str">
        <f t="shared" si="4"/>
        <v>GUANAJUATO</v>
      </c>
      <c r="F131" s="23" t="str">
        <f t="shared" si="5"/>
        <v>SAN FELIPE</v>
      </c>
      <c r="G131" s="66" t="s">
        <v>643</v>
      </c>
      <c r="H131" s="81" t="str">
        <f t="shared" si="39"/>
        <v>5
 ESTUFA (S)</v>
      </c>
      <c r="I131" s="25">
        <f t="shared" si="40"/>
        <v>25</v>
      </c>
      <c r="J131" s="32">
        <f t="shared" si="38"/>
        <v>5</v>
      </c>
      <c r="L131" s="27">
        <v>44788</v>
      </c>
      <c r="M131" s="28" t="s">
        <v>25</v>
      </c>
      <c r="N131" s="26" t="str">
        <f t="shared" si="41"/>
        <v>Capturado</v>
      </c>
      <c r="O131" s="26" t="str">
        <f t="shared" si="33"/>
        <v>Capturado</v>
      </c>
      <c r="P131" s="77"/>
      <c r="Q131" s="2" t="str">
        <f t="shared" si="35"/>
        <v>Imprimir</v>
      </c>
      <c r="R131" s="2"/>
      <c r="S131" s="2">
        <v>52</v>
      </c>
      <c r="T131" s="64">
        <v>23</v>
      </c>
      <c r="U131" s="18" t="s">
        <v>15</v>
      </c>
      <c r="V131" s="18" t="s">
        <v>15</v>
      </c>
      <c r="W131" s="18" t="str">
        <f t="shared" si="1"/>
        <v>CAP</v>
      </c>
      <c r="X131" s="18" t="str">
        <f t="shared" si="2"/>
        <v>. 120 - NC</v>
      </c>
      <c r="Y131" s="18"/>
      <c r="AA131" s="22">
        <v>0</v>
      </c>
      <c r="AB131" s="29" t="str">
        <f t="shared" si="3"/>
        <v>Cambió</v>
      </c>
      <c r="AC131" s="30" t="s">
        <v>37</v>
      </c>
      <c r="AD131" s="29" t="s">
        <v>33</v>
      </c>
      <c r="AE131" s="29" t="s">
        <v>33</v>
      </c>
      <c r="AF131" s="11" t="s">
        <v>72</v>
      </c>
      <c r="AG131" s="31"/>
      <c r="AH131" s="31"/>
    </row>
    <row r="132" spans="1:34" s="26" customFormat="1" ht="93" customHeight="1" x14ac:dyDescent="0.25">
      <c r="A132" s="67">
        <v>121</v>
      </c>
      <c r="B132" s="82" t="s">
        <v>377</v>
      </c>
      <c r="C132" s="21" t="s">
        <v>493</v>
      </c>
      <c r="D132" s="22">
        <v>37200</v>
      </c>
      <c r="E132" s="23" t="str">
        <f t="shared" si="4"/>
        <v>GUANAJUATO</v>
      </c>
      <c r="F132" s="23" t="str">
        <f t="shared" si="5"/>
        <v>SAN FELIPE</v>
      </c>
      <c r="G132" s="79" t="s">
        <v>358</v>
      </c>
      <c r="H132" s="81" t="str">
        <f t="shared" si="39"/>
        <v>12
 ESTUFA (S)</v>
      </c>
      <c r="I132" s="25">
        <f t="shared" si="40"/>
        <v>60</v>
      </c>
      <c r="J132" s="32">
        <f t="shared" si="38"/>
        <v>12</v>
      </c>
      <c r="L132" s="27">
        <v>44788</v>
      </c>
      <c r="M132" s="28" t="s">
        <v>25</v>
      </c>
      <c r="N132" s="26" t="str">
        <f t="shared" si="41"/>
        <v>Capturado</v>
      </c>
      <c r="O132" s="26" t="str">
        <f t="shared" si="33"/>
        <v>Capturado</v>
      </c>
      <c r="P132" s="77"/>
      <c r="Q132" s="2" t="str">
        <f t="shared" si="35"/>
        <v>Imprimir</v>
      </c>
      <c r="R132" s="2"/>
      <c r="S132" s="2">
        <v>52</v>
      </c>
      <c r="T132" s="64">
        <v>38</v>
      </c>
      <c r="U132" s="18" t="s">
        <v>15</v>
      </c>
      <c r="V132" s="18" t="s">
        <v>15</v>
      </c>
      <c r="W132" s="18" t="str">
        <f t="shared" si="1"/>
        <v>CAP</v>
      </c>
      <c r="X132" s="18" t="str">
        <f t="shared" si="2"/>
        <v>. 121 - NC</v>
      </c>
      <c r="Y132" s="18"/>
      <c r="AA132" s="22">
        <v>0</v>
      </c>
      <c r="AB132" s="29" t="str">
        <f t="shared" si="3"/>
        <v>Cambió</v>
      </c>
      <c r="AC132" s="30" t="s">
        <v>37</v>
      </c>
      <c r="AD132" s="29" t="s">
        <v>33</v>
      </c>
      <c r="AE132" s="29" t="s">
        <v>33</v>
      </c>
      <c r="AF132" s="11" t="s">
        <v>72</v>
      </c>
      <c r="AG132" s="31"/>
      <c r="AH132" s="31"/>
    </row>
    <row r="133" spans="1:34" s="26" customFormat="1" ht="93" customHeight="1" x14ac:dyDescent="0.25">
      <c r="A133" s="67">
        <v>122</v>
      </c>
      <c r="B133" s="82" t="s">
        <v>377</v>
      </c>
      <c r="C133" s="21" t="s">
        <v>494</v>
      </c>
      <c r="D133" s="22">
        <v>62000</v>
      </c>
      <c r="E133" s="23" t="str">
        <f t="shared" si="4"/>
        <v>GUANAJUATO</v>
      </c>
      <c r="F133" s="23" t="str">
        <f t="shared" si="5"/>
        <v>SAN FELIPE</v>
      </c>
      <c r="G133" s="66" t="s">
        <v>61</v>
      </c>
      <c r="H133" s="81" t="str">
        <f t="shared" si="39"/>
        <v>20
 ESTUFA (S)</v>
      </c>
      <c r="I133" s="25">
        <f t="shared" si="40"/>
        <v>100</v>
      </c>
      <c r="J133" s="32">
        <f t="shared" si="38"/>
        <v>20</v>
      </c>
      <c r="L133" s="27">
        <v>44788</v>
      </c>
      <c r="M133" s="28" t="s">
        <v>25</v>
      </c>
      <c r="N133" s="26" t="str">
        <f t="shared" si="41"/>
        <v>Capturado</v>
      </c>
      <c r="O133" s="26" t="str">
        <f t="shared" si="33"/>
        <v>Capturado</v>
      </c>
      <c r="P133" s="77"/>
      <c r="Q133" s="2" t="str">
        <f t="shared" si="35"/>
        <v>Imprimir</v>
      </c>
      <c r="R133" s="2"/>
      <c r="S133" s="2">
        <v>52</v>
      </c>
      <c r="T133" s="64">
        <v>23</v>
      </c>
      <c r="U133" s="18" t="s">
        <v>15</v>
      </c>
      <c r="V133" s="18" t="s">
        <v>15</v>
      </c>
      <c r="W133" s="18" t="str">
        <f t="shared" si="1"/>
        <v>CAP</v>
      </c>
      <c r="X133" s="18" t="str">
        <f t="shared" si="2"/>
        <v>. 122 - NC</v>
      </c>
      <c r="Y133" s="18"/>
      <c r="AA133" s="22">
        <v>0</v>
      </c>
      <c r="AB133" s="29" t="str">
        <f t="shared" si="3"/>
        <v>Cambió</v>
      </c>
      <c r="AC133" s="30" t="s">
        <v>37</v>
      </c>
      <c r="AD133" s="29" t="s">
        <v>33</v>
      </c>
      <c r="AE133" s="29" t="s">
        <v>33</v>
      </c>
      <c r="AF133" s="11" t="s">
        <v>72</v>
      </c>
      <c r="AG133" s="31"/>
      <c r="AH133" s="31"/>
    </row>
    <row r="134" spans="1:34" s="26" customFormat="1" ht="93" customHeight="1" x14ac:dyDescent="0.25">
      <c r="A134" s="67">
        <v>123</v>
      </c>
      <c r="B134" s="82" t="s">
        <v>377</v>
      </c>
      <c r="C134" s="21" t="s">
        <v>495</v>
      </c>
      <c r="D134" s="22">
        <v>15500</v>
      </c>
      <c r="E134" s="23" t="str">
        <f t="shared" si="4"/>
        <v>GUANAJUATO</v>
      </c>
      <c r="F134" s="23" t="str">
        <f t="shared" si="5"/>
        <v>SAN FELIPE</v>
      </c>
      <c r="G134" s="66" t="s">
        <v>644</v>
      </c>
      <c r="H134" s="81" t="str">
        <f t="shared" si="39"/>
        <v>5
 ESTUFA (S)</v>
      </c>
      <c r="I134" s="25">
        <f t="shared" si="40"/>
        <v>25</v>
      </c>
      <c r="J134" s="32">
        <f t="shared" si="38"/>
        <v>5</v>
      </c>
      <c r="L134" s="27">
        <v>44788</v>
      </c>
      <c r="M134" s="28" t="s">
        <v>25</v>
      </c>
      <c r="N134" s="26" t="str">
        <f t="shared" si="41"/>
        <v>Capturado</v>
      </c>
      <c r="O134" s="26" t="str">
        <f t="shared" si="33"/>
        <v>Capturado</v>
      </c>
      <c r="P134" s="77"/>
      <c r="Q134" s="2" t="str">
        <f t="shared" si="35"/>
        <v>Imprimir</v>
      </c>
      <c r="R134" s="2"/>
      <c r="S134" s="2">
        <v>52</v>
      </c>
      <c r="T134" s="64">
        <v>23</v>
      </c>
      <c r="U134" s="18" t="s">
        <v>15</v>
      </c>
      <c r="V134" s="18" t="s">
        <v>15</v>
      </c>
      <c r="W134" s="18" t="str">
        <f t="shared" si="1"/>
        <v>CAP</v>
      </c>
      <c r="X134" s="18" t="str">
        <f t="shared" si="2"/>
        <v>. 123 - NC</v>
      </c>
      <c r="Y134" s="18"/>
      <c r="AA134" s="22">
        <v>0</v>
      </c>
      <c r="AB134" s="29" t="str">
        <f t="shared" si="3"/>
        <v>Cambió</v>
      </c>
      <c r="AC134" s="30" t="s">
        <v>37</v>
      </c>
      <c r="AD134" s="29" t="s">
        <v>33</v>
      </c>
      <c r="AE134" s="29" t="s">
        <v>33</v>
      </c>
      <c r="AF134" s="11" t="s">
        <v>72</v>
      </c>
      <c r="AG134" s="31"/>
      <c r="AH134" s="31"/>
    </row>
    <row r="135" spans="1:34" s="26" customFormat="1" ht="93" customHeight="1" x14ac:dyDescent="0.25">
      <c r="A135" s="67">
        <v>124</v>
      </c>
      <c r="B135" s="82" t="s">
        <v>377</v>
      </c>
      <c r="C135" s="21" t="s">
        <v>496</v>
      </c>
      <c r="D135" s="22">
        <v>46500</v>
      </c>
      <c r="E135" s="23" t="str">
        <f t="shared" si="4"/>
        <v>GUANAJUATO</v>
      </c>
      <c r="F135" s="23" t="str">
        <f t="shared" si="5"/>
        <v>SAN FELIPE</v>
      </c>
      <c r="G135" s="66" t="s">
        <v>627</v>
      </c>
      <c r="H135" s="81" t="str">
        <f t="shared" si="39"/>
        <v>15
 ESTUFA (S)</v>
      </c>
      <c r="I135" s="25">
        <f t="shared" si="40"/>
        <v>75</v>
      </c>
      <c r="J135" s="32">
        <f t="shared" si="38"/>
        <v>15</v>
      </c>
      <c r="L135" s="27">
        <v>44788</v>
      </c>
      <c r="M135" s="28" t="s">
        <v>25</v>
      </c>
      <c r="N135" s="26" t="str">
        <f t="shared" si="41"/>
        <v>Capturado</v>
      </c>
      <c r="O135" s="26" t="str">
        <f t="shared" si="33"/>
        <v>Capturado</v>
      </c>
      <c r="P135" s="77"/>
      <c r="Q135" s="2" t="str">
        <f t="shared" si="35"/>
        <v>Imprimir</v>
      </c>
      <c r="R135" s="2"/>
      <c r="S135" s="2">
        <v>52</v>
      </c>
      <c r="T135" s="64">
        <v>23</v>
      </c>
      <c r="U135" s="18" t="s">
        <v>15</v>
      </c>
      <c r="V135" s="18" t="s">
        <v>15</v>
      </c>
      <c r="W135" s="18" t="str">
        <f t="shared" si="1"/>
        <v>CAP</v>
      </c>
      <c r="X135" s="18" t="str">
        <f t="shared" si="2"/>
        <v>. 124 - NC</v>
      </c>
      <c r="Y135" s="18"/>
      <c r="AA135" s="22">
        <v>0</v>
      </c>
      <c r="AB135" s="29" t="str">
        <f t="shared" si="3"/>
        <v>Cambió</v>
      </c>
      <c r="AC135" s="30" t="s">
        <v>37</v>
      </c>
      <c r="AD135" s="29" t="s">
        <v>33</v>
      </c>
      <c r="AE135" s="29" t="s">
        <v>33</v>
      </c>
      <c r="AF135" s="11" t="s">
        <v>72</v>
      </c>
      <c r="AG135" s="31"/>
      <c r="AH135" s="31"/>
    </row>
    <row r="136" spans="1:34" s="26" customFormat="1" ht="93" customHeight="1" x14ac:dyDescent="0.25">
      <c r="A136" s="67">
        <v>125</v>
      </c>
      <c r="B136" s="82" t="s">
        <v>377</v>
      </c>
      <c r="C136" s="21" t="s">
        <v>497</v>
      </c>
      <c r="D136" s="22">
        <v>37200</v>
      </c>
      <c r="E136" s="23" t="str">
        <f t="shared" si="4"/>
        <v>GUANAJUATO</v>
      </c>
      <c r="F136" s="23" t="str">
        <f t="shared" si="5"/>
        <v>SAN FELIPE</v>
      </c>
      <c r="G136" s="66" t="s">
        <v>626</v>
      </c>
      <c r="H136" s="81" t="str">
        <f t="shared" si="39"/>
        <v>12
 ESTUFA (S)</v>
      </c>
      <c r="I136" s="25">
        <f t="shared" si="40"/>
        <v>60</v>
      </c>
      <c r="J136" s="32">
        <f t="shared" si="38"/>
        <v>12</v>
      </c>
      <c r="L136" s="27">
        <v>44788</v>
      </c>
      <c r="M136" s="28" t="s">
        <v>25</v>
      </c>
      <c r="N136" s="26" t="str">
        <f t="shared" si="41"/>
        <v>Capturado</v>
      </c>
      <c r="O136" s="26" t="str">
        <f t="shared" si="33"/>
        <v>Capturado</v>
      </c>
      <c r="P136" s="77"/>
      <c r="Q136" s="2" t="str">
        <f t="shared" si="35"/>
        <v>Imprimir</v>
      </c>
      <c r="R136" s="2"/>
      <c r="S136" s="2">
        <v>52</v>
      </c>
      <c r="T136" s="64">
        <v>23</v>
      </c>
      <c r="U136" s="18" t="s">
        <v>15</v>
      </c>
      <c r="V136" s="18" t="s">
        <v>15</v>
      </c>
      <c r="W136" s="18" t="str">
        <f t="shared" si="1"/>
        <v>CAP</v>
      </c>
      <c r="X136" s="18" t="str">
        <f t="shared" si="2"/>
        <v>. 125 - NC</v>
      </c>
      <c r="Y136" s="18"/>
      <c r="AA136" s="22">
        <v>0</v>
      </c>
      <c r="AB136" s="29" t="str">
        <f t="shared" si="3"/>
        <v>Cambió</v>
      </c>
      <c r="AC136" s="30" t="s">
        <v>37</v>
      </c>
      <c r="AD136" s="29" t="s">
        <v>33</v>
      </c>
      <c r="AE136" s="29" t="s">
        <v>33</v>
      </c>
      <c r="AF136" s="11" t="s">
        <v>72</v>
      </c>
      <c r="AG136" s="31"/>
      <c r="AH136" s="31"/>
    </row>
    <row r="137" spans="1:34" s="26" customFormat="1" ht="93" customHeight="1" x14ac:dyDescent="0.25">
      <c r="A137" s="67">
        <v>126</v>
      </c>
      <c r="B137" s="82" t="s">
        <v>377</v>
      </c>
      <c r="C137" s="21" t="s">
        <v>498</v>
      </c>
      <c r="D137" s="22">
        <v>46500</v>
      </c>
      <c r="E137" s="23" t="str">
        <f t="shared" si="4"/>
        <v>GUANAJUATO</v>
      </c>
      <c r="F137" s="23" t="str">
        <f t="shared" si="5"/>
        <v>SAN FELIPE</v>
      </c>
      <c r="G137" s="66" t="s">
        <v>623</v>
      </c>
      <c r="H137" s="81" t="str">
        <f t="shared" si="39"/>
        <v>15
 ESTUFA (S)</v>
      </c>
      <c r="I137" s="25">
        <f t="shared" si="40"/>
        <v>75</v>
      </c>
      <c r="J137" s="32">
        <f t="shared" si="38"/>
        <v>15</v>
      </c>
      <c r="L137" s="27">
        <v>44788</v>
      </c>
      <c r="M137" s="28" t="s">
        <v>25</v>
      </c>
      <c r="N137" s="26" t="str">
        <f t="shared" si="41"/>
        <v>Capturado</v>
      </c>
      <c r="O137" s="26" t="str">
        <f t="shared" si="33"/>
        <v>Capturado</v>
      </c>
      <c r="P137" s="77"/>
      <c r="Q137" s="2" t="str">
        <f t="shared" si="35"/>
        <v>Imprimir</v>
      </c>
      <c r="R137" s="2"/>
      <c r="S137" s="2">
        <v>52</v>
      </c>
      <c r="T137" s="64">
        <v>23</v>
      </c>
      <c r="U137" s="18" t="s">
        <v>15</v>
      </c>
      <c r="V137" s="18" t="s">
        <v>15</v>
      </c>
      <c r="W137" s="18" t="str">
        <f t="shared" si="1"/>
        <v>CAP</v>
      </c>
      <c r="X137" s="18" t="str">
        <f t="shared" si="2"/>
        <v>. 126 - NC</v>
      </c>
      <c r="Y137" s="18"/>
      <c r="AA137" s="22">
        <v>0</v>
      </c>
      <c r="AB137" s="29" t="str">
        <f t="shared" si="3"/>
        <v>Cambió</v>
      </c>
      <c r="AC137" s="30" t="s">
        <v>37</v>
      </c>
      <c r="AD137" s="29" t="s">
        <v>33</v>
      </c>
      <c r="AE137" s="29" t="s">
        <v>33</v>
      </c>
      <c r="AF137" s="11" t="s">
        <v>72</v>
      </c>
      <c r="AG137" s="31"/>
      <c r="AH137" s="31"/>
    </row>
    <row r="138" spans="1:34" s="26" customFormat="1" ht="93" customHeight="1" x14ac:dyDescent="0.25">
      <c r="A138" s="67">
        <v>127</v>
      </c>
      <c r="B138" s="82" t="s">
        <v>377</v>
      </c>
      <c r="C138" s="21" t="s">
        <v>499</v>
      </c>
      <c r="D138" s="22">
        <v>31000</v>
      </c>
      <c r="E138" s="23" t="str">
        <f t="shared" si="4"/>
        <v>GUANAJUATO</v>
      </c>
      <c r="F138" s="23" t="str">
        <f t="shared" si="5"/>
        <v>SAN FELIPE</v>
      </c>
      <c r="G138" s="66" t="s">
        <v>645</v>
      </c>
      <c r="H138" s="81" t="str">
        <f t="shared" si="39"/>
        <v>10
 ESTUFA (S)</v>
      </c>
      <c r="I138" s="25">
        <f t="shared" si="40"/>
        <v>50</v>
      </c>
      <c r="J138" s="32">
        <f t="shared" si="38"/>
        <v>10</v>
      </c>
      <c r="L138" s="27">
        <v>44788</v>
      </c>
      <c r="M138" s="28" t="s">
        <v>25</v>
      </c>
      <c r="N138" s="26" t="str">
        <f t="shared" si="41"/>
        <v>Capturado</v>
      </c>
      <c r="O138" s="26" t="str">
        <f t="shared" si="33"/>
        <v>Capturado</v>
      </c>
      <c r="P138" s="77"/>
      <c r="Q138" s="2" t="str">
        <f t="shared" si="35"/>
        <v>Imprimir</v>
      </c>
      <c r="R138" s="2"/>
      <c r="S138" s="2">
        <v>130</v>
      </c>
      <c r="T138" s="64">
        <v>8</v>
      </c>
      <c r="U138" s="18" t="s">
        <v>15</v>
      </c>
      <c r="V138" s="18" t="s">
        <v>15</v>
      </c>
      <c r="W138" s="18" t="str">
        <f t="shared" si="1"/>
        <v>CAP</v>
      </c>
      <c r="X138" s="18" t="str">
        <f t="shared" si="2"/>
        <v>. 127 - NC</v>
      </c>
      <c r="Y138" s="18"/>
      <c r="AA138" s="22">
        <v>0</v>
      </c>
      <c r="AB138" s="29" t="str">
        <f t="shared" si="3"/>
        <v>Cambió</v>
      </c>
      <c r="AC138" s="30" t="s">
        <v>37</v>
      </c>
      <c r="AD138" s="29" t="s">
        <v>33</v>
      </c>
      <c r="AE138" s="29" t="s">
        <v>33</v>
      </c>
      <c r="AF138" s="11" t="s">
        <v>72</v>
      </c>
      <c r="AG138" s="31"/>
      <c r="AH138" s="31"/>
    </row>
    <row r="139" spans="1:34" s="26" customFormat="1" ht="45" x14ac:dyDescent="0.25">
      <c r="A139" s="67">
        <v>128</v>
      </c>
      <c r="B139" s="82" t="s">
        <v>377</v>
      </c>
      <c r="C139" s="21" t="s">
        <v>500</v>
      </c>
      <c r="D139" s="22">
        <v>24800</v>
      </c>
      <c r="E139" s="23" t="str">
        <f>IF(D139&gt;0,"GUANAJUATO","")</f>
        <v>GUANAJUATO</v>
      </c>
      <c r="F139" s="23" t="str">
        <f>IF(D139&gt;0,"SAN FELIPE","")</f>
        <v>SAN FELIPE</v>
      </c>
      <c r="G139" s="79" t="s">
        <v>646</v>
      </c>
      <c r="H139" s="81" t="str">
        <f t="shared" si="39"/>
        <v>8
 ESTUFA (S)</v>
      </c>
      <c r="I139" s="25">
        <f t="shared" si="40"/>
        <v>40</v>
      </c>
      <c r="J139" s="32">
        <f t="shared" si="38"/>
        <v>8</v>
      </c>
      <c r="L139" s="27">
        <v>44788</v>
      </c>
      <c r="M139" s="28" t="s">
        <v>25</v>
      </c>
      <c r="N139" s="26" t="str">
        <f>IF(G139&lt;&gt;0,"Capturado","")</f>
        <v>Capturado</v>
      </c>
      <c r="O139" s="26" t="str">
        <f t="shared" si="33"/>
        <v>Capturado</v>
      </c>
      <c r="P139" s="18"/>
      <c r="Q139" s="2" t="str">
        <f t="shared" si="35"/>
        <v>Imprimir</v>
      </c>
      <c r="R139" s="2"/>
      <c r="S139" s="2"/>
      <c r="T139" s="64"/>
      <c r="U139" s="18" t="s">
        <v>15</v>
      </c>
      <c r="V139" s="18" t="s">
        <v>15</v>
      </c>
      <c r="W139" s="18" t="str">
        <f>IF(L139="","","CAP")</f>
        <v>CAP</v>
      </c>
      <c r="X139" s="18" t="str">
        <f>CONCATENATE($X$9,A139,$X$10,B139)</f>
        <v>. 128 - NC</v>
      </c>
      <c r="Y139" s="18"/>
      <c r="AA139" s="22">
        <v>0</v>
      </c>
      <c r="AB139" s="29" t="str">
        <f>IF(D139&gt;0,IF(D139=AA139,"Sin Cambio","Cambió"),"")</f>
        <v>Cambió</v>
      </c>
      <c r="AC139" s="30" t="s">
        <v>37</v>
      </c>
      <c r="AD139" s="29" t="s">
        <v>33</v>
      </c>
      <c r="AE139" s="29" t="s">
        <v>33</v>
      </c>
      <c r="AF139" s="11" t="s">
        <v>72</v>
      </c>
      <c r="AG139" s="31"/>
      <c r="AH139" s="31"/>
    </row>
    <row r="140" spans="1:34" s="26" customFormat="1" ht="60" customHeight="1" x14ac:dyDescent="0.25">
      <c r="A140" s="67">
        <v>129</v>
      </c>
      <c r="B140" s="82" t="s">
        <v>377</v>
      </c>
      <c r="C140" s="21" t="s">
        <v>270</v>
      </c>
      <c r="D140" s="22">
        <v>31000</v>
      </c>
      <c r="E140" s="23" t="str">
        <f t="shared" si="4"/>
        <v>GUANAJUATO</v>
      </c>
      <c r="F140" s="23" t="str">
        <f t="shared" si="5"/>
        <v>SAN FELIPE</v>
      </c>
      <c r="G140" s="66" t="s">
        <v>373</v>
      </c>
      <c r="H140" s="81" t="str">
        <f t="shared" si="39"/>
        <v>10
 ESTUFA (S)</v>
      </c>
      <c r="I140" s="25">
        <f t="shared" si="40"/>
        <v>50</v>
      </c>
      <c r="J140" s="32">
        <f t="shared" si="38"/>
        <v>10</v>
      </c>
      <c r="L140" s="27">
        <v>44788</v>
      </c>
      <c r="M140" s="28" t="s">
        <v>25</v>
      </c>
      <c r="N140" s="26" t="str">
        <f t="shared" ref="N140:N150" si="42">IF(G140&lt;&gt;0,"Capturado","")</f>
        <v>Capturado</v>
      </c>
      <c r="O140" s="26" t="str">
        <f t="shared" si="33"/>
        <v>Capturado</v>
      </c>
      <c r="P140" s="77"/>
      <c r="Q140" s="2" t="str">
        <f t="shared" si="35"/>
        <v>Imprimir</v>
      </c>
      <c r="R140" s="2"/>
      <c r="S140" s="2"/>
      <c r="T140" s="64"/>
      <c r="U140" s="18" t="s">
        <v>15</v>
      </c>
      <c r="V140" s="18" t="s">
        <v>15</v>
      </c>
      <c r="W140" s="18" t="str">
        <f t="shared" si="1"/>
        <v>CAP</v>
      </c>
      <c r="X140" s="18" t="str">
        <f t="shared" si="2"/>
        <v>. 129 - NC</v>
      </c>
      <c r="Y140" s="18"/>
      <c r="AA140" s="22">
        <v>0</v>
      </c>
      <c r="AB140" s="29" t="str">
        <f t="shared" si="3"/>
        <v>Cambió</v>
      </c>
      <c r="AC140" s="30" t="s">
        <v>37</v>
      </c>
      <c r="AD140" s="29" t="s">
        <v>33</v>
      </c>
      <c r="AE140" s="29" t="s">
        <v>33</v>
      </c>
      <c r="AF140" s="11" t="s">
        <v>72</v>
      </c>
      <c r="AG140" s="31"/>
      <c r="AH140" s="31"/>
    </row>
    <row r="141" spans="1:34" s="26" customFormat="1" ht="93" customHeight="1" x14ac:dyDescent="0.25">
      <c r="A141" s="67">
        <v>130</v>
      </c>
      <c r="B141" s="82" t="s">
        <v>377</v>
      </c>
      <c r="C141" s="21" t="s">
        <v>501</v>
      </c>
      <c r="D141" s="22">
        <v>21700</v>
      </c>
      <c r="E141" s="23" t="str">
        <f t="shared" ref="E141:E145" si="43">IF(D141&gt;0,"GUANAJUATO","")</f>
        <v>GUANAJUATO</v>
      </c>
      <c r="F141" s="23" t="str">
        <f t="shared" ref="F141:F145" si="44">IF(D141&gt;0,"SAN FELIPE","")</f>
        <v>SAN FELIPE</v>
      </c>
      <c r="G141" s="66" t="s">
        <v>647</v>
      </c>
      <c r="H141" s="81" t="str">
        <f t="shared" si="39"/>
        <v>7
 ESTUFA (S)</v>
      </c>
      <c r="I141" s="25">
        <f t="shared" si="40"/>
        <v>35</v>
      </c>
      <c r="J141" s="32">
        <f t="shared" si="38"/>
        <v>7</v>
      </c>
      <c r="L141" s="27">
        <v>44788</v>
      </c>
      <c r="M141" s="28" t="s">
        <v>25</v>
      </c>
      <c r="N141" s="26" t="str">
        <f t="shared" si="42"/>
        <v>Capturado</v>
      </c>
      <c r="O141" s="26" t="str">
        <f t="shared" si="33"/>
        <v>Capturado</v>
      </c>
      <c r="P141" s="77"/>
      <c r="Q141" s="2" t="str">
        <f t="shared" si="35"/>
        <v>Imprimir</v>
      </c>
      <c r="R141" s="2"/>
      <c r="S141" s="2">
        <v>58</v>
      </c>
      <c r="T141" s="64">
        <v>23</v>
      </c>
      <c r="U141" s="18" t="s">
        <v>15</v>
      </c>
      <c r="V141" s="18" t="s">
        <v>15</v>
      </c>
      <c r="W141" s="18" t="str">
        <f t="shared" ref="W141:W145" si="45">IF(L141="","","CAP")</f>
        <v>CAP</v>
      </c>
      <c r="X141" s="18" t="str">
        <f t="shared" ref="X141:X145" si="46">CONCATENATE($X$9,A141,$X$10,B141)</f>
        <v>. 130 - NC</v>
      </c>
      <c r="Y141" s="18"/>
      <c r="AA141" s="22">
        <v>0</v>
      </c>
      <c r="AB141" s="29" t="str">
        <f t="shared" ref="AB141:AB145" si="47">IF(D141&gt;0,IF(D141=AA141,"Sin Cambio","Cambió"),"")</f>
        <v>Cambió</v>
      </c>
      <c r="AC141" s="30" t="s">
        <v>37</v>
      </c>
      <c r="AD141" s="29" t="s">
        <v>33</v>
      </c>
      <c r="AE141" s="29" t="s">
        <v>33</v>
      </c>
      <c r="AF141" s="11" t="s">
        <v>72</v>
      </c>
      <c r="AG141" s="31"/>
      <c r="AH141" s="31"/>
    </row>
    <row r="142" spans="1:34" s="26" customFormat="1" ht="93" customHeight="1" x14ac:dyDescent="0.25">
      <c r="A142" s="67">
        <v>131</v>
      </c>
      <c r="B142" s="82" t="s">
        <v>377</v>
      </c>
      <c r="C142" s="21" t="s">
        <v>502</v>
      </c>
      <c r="D142" s="22">
        <v>31000</v>
      </c>
      <c r="E142" s="23" t="str">
        <f t="shared" si="43"/>
        <v>GUANAJUATO</v>
      </c>
      <c r="F142" s="23" t="str">
        <f t="shared" si="44"/>
        <v>SAN FELIPE</v>
      </c>
      <c r="G142" s="66" t="s">
        <v>343</v>
      </c>
      <c r="H142" s="81" t="str">
        <f t="shared" si="39"/>
        <v>10
 ESTUFA (S)</v>
      </c>
      <c r="I142" s="25">
        <f t="shared" si="40"/>
        <v>50</v>
      </c>
      <c r="J142" s="32">
        <f t="shared" si="38"/>
        <v>10</v>
      </c>
      <c r="L142" s="27">
        <v>44788</v>
      </c>
      <c r="M142" s="28" t="s">
        <v>25</v>
      </c>
      <c r="N142" s="26" t="str">
        <f t="shared" si="42"/>
        <v>Capturado</v>
      </c>
      <c r="O142" s="26" t="str">
        <f t="shared" si="33"/>
        <v>Capturado</v>
      </c>
      <c r="P142" s="77"/>
      <c r="Q142" s="2" t="str">
        <f t="shared" si="35"/>
        <v>Imprimir</v>
      </c>
      <c r="R142" s="2"/>
      <c r="S142" s="2">
        <v>58</v>
      </c>
      <c r="T142" s="64">
        <v>23</v>
      </c>
      <c r="U142" s="18" t="s">
        <v>15</v>
      </c>
      <c r="V142" s="18" t="s">
        <v>15</v>
      </c>
      <c r="W142" s="18" t="str">
        <f t="shared" si="45"/>
        <v>CAP</v>
      </c>
      <c r="X142" s="18" t="str">
        <f t="shared" si="46"/>
        <v>. 131 - NC</v>
      </c>
      <c r="Y142" s="18"/>
      <c r="AA142" s="22">
        <v>0</v>
      </c>
      <c r="AB142" s="29" t="str">
        <f t="shared" si="47"/>
        <v>Cambió</v>
      </c>
      <c r="AC142" s="30" t="s">
        <v>37</v>
      </c>
      <c r="AD142" s="29" t="s">
        <v>33</v>
      </c>
      <c r="AE142" s="29" t="s">
        <v>33</v>
      </c>
      <c r="AF142" s="11" t="s">
        <v>72</v>
      </c>
      <c r="AG142" s="31"/>
      <c r="AH142" s="31"/>
    </row>
    <row r="143" spans="1:34" s="26" customFormat="1" ht="93" customHeight="1" x14ac:dyDescent="0.25">
      <c r="A143" s="67">
        <v>132</v>
      </c>
      <c r="B143" s="82" t="s">
        <v>377</v>
      </c>
      <c r="C143" s="21" t="s">
        <v>503</v>
      </c>
      <c r="D143" s="22">
        <v>31000</v>
      </c>
      <c r="E143" s="23" t="str">
        <f t="shared" si="43"/>
        <v>GUANAJUATO</v>
      </c>
      <c r="F143" s="23" t="str">
        <f t="shared" si="44"/>
        <v>SAN FELIPE</v>
      </c>
      <c r="G143" s="66" t="s">
        <v>648</v>
      </c>
      <c r="H143" s="81" t="str">
        <f t="shared" si="39"/>
        <v>10
 ESTUFA (S)</v>
      </c>
      <c r="I143" s="25">
        <f t="shared" si="40"/>
        <v>50</v>
      </c>
      <c r="J143" s="32">
        <f t="shared" si="38"/>
        <v>10</v>
      </c>
      <c r="L143" s="27">
        <v>44788</v>
      </c>
      <c r="M143" s="28" t="s">
        <v>25</v>
      </c>
      <c r="N143" s="26" t="str">
        <f t="shared" si="42"/>
        <v>Capturado</v>
      </c>
      <c r="O143" s="26" t="str">
        <f t="shared" si="33"/>
        <v>Capturado</v>
      </c>
      <c r="P143" s="77"/>
      <c r="Q143" s="2" t="str">
        <f t="shared" si="35"/>
        <v>Imprimir</v>
      </c>
      <c r="R143" s="2"/>
      <c r="S143" s="2">
        <v>58</v>
      </c>
      <c r="T143" s="64">
        <v>23</v>
      </c>
      <c r="U143" s="18" t="s">
        <v>15</v>
      </c>
      <c r="V143" s="18" t="s">
        <v>15</v>
      </c>
      <c r="W143" s="18" t="str">
        <f t="shared" si="45"/>
        <v>CAP</v>
      </c>
      <c r="X143" s="18" t="str">
        <f t="shared" si="46"/>
        <v>. 132 - NC</v>
      </c>
      <c r="Y143" s="18"/>
      <c r="AA143" s="22">
        <v>0</v>
      </c>
      <c r="AB143" s="29" t="str">
        <f t="shared" si="47"/>
        <v>Cambió</v>
      </c>
      <c r="AC143" s="30" t="s">
        <v>37</v>
      </c>
      <c r="AD143" s="29" t="s">
        <v>33</v>
      </c>
      <c r="AE143" s="29" t="s">
        <v>33</v>
      </c>
      <c r="AF143" s="11" t="s">
        <v>72</v>
      </c>
      <c r="AG143" s="31"/>
      <c r="AH143" s="31"/>
    </row>
    <row r="144" spans="1:34" s="26" customFormat="1" ht="93" customHeight="1" x14ac:dyDescent="0.25">
      <c r="A144" s="67">
        <v>133</v>
      </c>
      <c r="B144" s="82" t="s">
        <v>377</v>
      </c>
      <c r="C144" s="21" t="s">
        <v>504</v>
      </c>
      <c r="D144" s="22">
        <v>37200</v>
      </c>
      <c r="E144" s="23" t="str">
        <f t="shared" si="43"/>
        <v>GUANAJUATO</v>
      </c>
      <c r="F144" s="23" t="str">
        <f t="shared" si="44"/>
        <v>SAN FELIPE</v>
      </c>
      <c r="G144" s="66" t="s">
        <v>649</v>
      </c>
      <c r="H144" s="81" t="str">
        <f t="shared" si="39"/>
        <v>12
 ESTUFA (S)</v>
      </c>
      <c r="I144" s="25">
        <f t="shared" si="40"/>
        <v>60</v>
      </c>
      <c r="J144" s="32">
        <f t="shared" si="38"/>
        <v>12</v>
      </c>
      <c r="L144" s="27">
        <v>44788</v>
      </c>
      <c r="M144" s="28" t="s">
        <v>25</v>
      </c>
      <c r="N144" s="26" t="str">
        <f t="shared" si="42"/>
        <v>Capturado</v>
      </c>
      <c r="O144" s="26" t="str">
        <f t="shared" si="33"/>
        <v>Capturado</v>
      </c>
      <c r="P144" s="77"/>
      <c r="Q144" s="2" t="str">
        <f t="shared" si="35"/>
        <v>Imprimir</v>
      </c>
      <c r="R144" s="2"/>
      <c r="S144" s="2">
        <v>58</v>
      </c>
      <c r="T144" s="64">
        <v>28</v>
      </c>
      <c r="U144" s="18" t="s">
        <v>15</v>
      </c>
      <c r="V144" s="18" t="s">
        <v>15</v>
      </c>
      <c r="W144" s="18" t="str">
        <f t="shared" si="45"/>
        <v>CAP</v>
      </c>
      <c r="X144" s="18" t="str">
        <f t="shared" si="46"/>
        <v>. 133 - NC</v>
      </c>
      <c r="Y144" s="18"/>
      <c r="AA144" s="22">
        <v>0</v>
      </c>
      <c r="AB144" s="29" t="str">
        <f t="shared" si="47"/>
        <v>Cambió</v>
      </c>
      <c r="AC144" s="30" t="s">
        <v>37</v>
      </c>
      <c r="AD144" s="29" t="s">
        <v>33</v>
      </c>
      <c r="AE144" s="29" t="s">
        <v>33</v>
      </c>
      <c r="AF144" s="11" t="s">
        <v>72</v>
      </c>
      <c r="AG144" s="31"/>
      <c r="AH144" s="31"/>
    </row>
    <row r="145" spans="1:34" s="26" customFormat="1" ht="93" customHeight="1" x14ac:dyDescent="0.25">
      <c r="A145" s="67">
        <v>134</v>
      </c>
      <c r="B145" s="82" t="s">
        <v>377</v>
      </c>
      <c r="C145" s="21" t="s">
        <v>505</v>
      </c>
      <c r="D145" s="22">
        <v>704870.69</v>
      </c>
      <c r="E145" s="23" t="str">
        <f t="shared" si="43"/>
        <v>GUANAJUATO</v>
      </c>
      <c r="F145" s="23" t="str">
        <f t="shared" si="44"/>
        <v>SAN FELIPE</v>
      </c>
      <c r="G145" s="66" t="s">
        <v>12</v>
      </c>
      <c r="H145" s="81" t="str">
        <f t="shared" ref="H145" si="48">J145&amp;"
 CALENTADOR(ES)"</f>
        <v>80
 CALENTADOR(ES)</v>
      </c>
      <c r="I145" s="25">
        <f t="shared" ref="I145" si="49">J145*5</f>
        <v>400</v>
      </c>
      <c r="J145" s="32">
        <f t="shared" ref="J145:J191" si="50">ROUND(D145/8800,0)</f>
        <v>80</v>
      </c>
      <c r="L145" s="27">
        <v>44788</v>
      </c>
      <c r="M145" s="28" t="s">
        <v>25</v>
      </c>
      <c r="N145" s="26" t="str">
        <f t="shared" si="42"/>
        <v>Capturado</v>
      </c>
      <c r="O145" s="26" t="str">
        <f t="shared" si="33"/>
        <v>Capturado</v>
      </c>
      <c r="P145" s="77"/>
      <c r="Q145" s="2" t="str">
        <f t="shared" si="35"/>
        <v>Imprimir</v>
      </c>
      <c r="R145" s="2"/>
      <c r="S145" s="2">
        <v>58</v>
      </c>
      <c r="T145" s="64">
        <v>28</v>
      </c>
      <c r="U145" s="18" t="s">
        <v>15</v>
      </c>
      <c r="V145" s="18" t="s">
        <v>15</v>
      </c>
      <c r="W145" s="18" t="str">
        <f t="shared" si="45"/>
        <v>CAP</v>
      </c>
      <c r="X145" s="18" t="str">
        <f t="shared" si="46"/>
        <v>. 134 - NC</v>
      </c>
      <c r="Y145" s="18"/>
      <c r="AA145" s="22">
        <v>0</v>
      </c>
      <c r="AB145" s="29" t="str">
        <f t="shared" si="47"/>
        <v>Cambió</v>
      </c>
      <c r="AC145" s="30" t="s">
        <v>37</v>
      </c>
      <c r="AD145" s="29" t="s">
        <v>33</v>
      </c>
      <c r="AE145" s="29" t="s">
        <v>33</v>
      </c>
      <c r="AF145" s="11" t="s">
        <v>72</v>
      </c>
      <c r="AG145" s="31"/>
      <c r="AH145" s="31"/>
    </row>
    <row r="146" spans="1:34" s="26" customFormat="1" ht="45" x14ac:dyDescent="0.25">
      <c r="A146" s="67">
        <v>135</v>
      </c>
      <c r="B146" s="82" t="s">
        <v>377</v>
      </c>
      <c r="C146" s="21" t="s">
        <v>506</v>
      </c>
      <c r="D146" s="22">
        <v>176000</v>
      </c>
      <c r="E146" s="23" t="str">
        <f t="shared" si="4"/>
        <v>GUANAJUATO</v>
      </c>
      <c r="F146" s="23" t="str">
        <f t="shared" si="5"/>
        <v>SAN FELIPE</v>
      </c>
      <c r="G146" s="66" t="s">
        <v>47</v>
      </c>
      <c r="H146" s="81" t="str">
        <f t="shared" ref="H146:H191" si="51">J146&amp;"
 CALENTADOR(ES)"</f>
        <v>20
 CALENTADOR(ES)</v>
      </c>
      <c r="I146" s="25">
        <f t="shared" ref="I146:I191" si="52">J146*5</f>
        <v>100</v>
      </c>
      <c r="J146" s="32">
        <f t="shared" si="50"/>
        <v>20</v>
      </c>
      <c r="L146" s="27">
        <v>44788</v>
      </c>
      <c r="M146" s="28" t="s">
        <v>25</v>
      </c>
      <c r="N146" s="26" t="str">
        <f t="shared" si="42"/>
        <v>Capturado</v>
      </c>
      <c r="O146" s="26" t="str">
        <f t="shared" si="33"/>
        <v>Capturado</v>
      </c>
      <c r="P146" s="77"/>
      <c r="Q146" s="2" t="str">
        <f t="shared" si="35"/>
        <v>Imprimir</v>
      </c>
      <c r="R146" s="2"/>
      <c r="S146" s="2"/>
      <c r="T146" s="64"/>
      <c r="U146" s="18" t="s">
        <v>15</v>
      </c>
      <c r="V146" s="18" t="s">
        <v>15</v>
      </c>
      <c r="W146" s="18" t="str">
        <f t="shared" si="1"/>
        <v>CAP</v>
      </c>
      <c r="X146" s="18" t="str">
        <f t="shared" si="2"/>
        <v>. 135 - NC</v>
      </c>
      <c r="Y146" s="18"/>
      <c r="AA146" s="22">
        <v>0</v>
      </c>
      <c r="AB146" s="29" t="str">
        <f t="shared" si="3"/>
        <v>Cambió</v>
      </c>
      <c r="AC146" s="30" t="s">
        <v>37</v>
      </c>
      <c r="AD146" s="29" t="s">
        <v>33</v>
      </c>
      <c r="AE146" s="29" t="s">
        <v>33</v>
      </c>
      <c r="AF146" s="11" t="s">
        <v>72</v>
      </c>
      <c r="AG146" s="31"/>
      <c r="AH146" s="31"/>
    </row>
    <row r="147" spans="1:34" s="26" customFormat="1" ht="45" x14ac:dyDescent="0.25">
      <c r="A147" s="67">
        <v>136</v>
      </c>
      <c r="B147" s="82" t="s">
        <v>377</v>
      </c>
      <c r="C147" s="21" t="s">
        <v>507</v>
      </c>
      <c r="D147" s="22">
        <v>176000</v>
      </c>
      <c r="E147" s="23" t="str">
        <f t="shared" si="4"/>
        <v>GUANAJUATO</v>
      </c>
      <c r="F147" s="23" t="str">
        <f t="shared" si="5"/>
        <v>SAN FELIPE</v>
      </c>
      <c r="G147" s="66" t="s">
        <v>362</v>
      </c>
      <c r="H147" s="81" t="str">
        <f t="shared" si="51"/>
        <v>20
 CALENTADOR(ES)</v>
      </c>
      <c r="I147" s="25">
        <f t="shared" si="52"/>
        <v>100</v>
      </c>
      <c r="J147" s="32">
        <f t="shared" si="50"/>
        <v>20</v>
      </c>
      <c r="L147" s="27">
        <v>44788</v>
      </c>
      <c r="M147" s="28" t="s">
        <v>25</v>
      </c>
      <c r="N147" s="26" t="str">
        <f t="shared" si="42"/>
        <v>Capturado</v>
      </c>
      <c r="O147" s="26" t="str">
        <f t="shared" si="33"/>
        <v>Capturado</v>
      </c>
      <c r="P147" s="18"/>
      <c r="Q147" s="2" t="str">
        <f t="shared" si="35"/>
        <v>Imprimir</v>
      </c>
      <c r="R147" s="2"/>
      <c r="S147" s="2"/>
      <c r="T147" s="64"/>
      <c r="U147" s="18" t="s">
        <v>15</v>
      </c>
      <c r="V147" s="18" t="s">
        <v>15</v>
      </c>
      <c r="W147" s="18" t="str">
        <f t="shared" si="1"/>
        <v>CAP</v>
      </c>
      <c r="X147" s="18" t="str">
        <f t="shared" si="2"/>
        <v>. 136 - NC</v>
      </c>
      <c r="Y147" s="18"/>
      <c r="AA147" s="22">
        <v>0</v>
      </c>
      <c r="AB147" s="29" t="str">
        <f t="shared" si="3"/>
        <v>Cambió</v>
      </c>
      <c r="AC147" s="30" t="s">
        <v>37</v>
      </c>
      <c r="AD147" s="29" t="s">
        <v>33</v>
      </c>
      <c r="AE147" s="29" t="s">
        <v>33</v>
      </c>
      <c r="AF147" s="11" t="s">
        <v>72</v>
      </c>
      <c r="AG147" s="31"/>
      <c r="AH147" s="31"/>
    </row>
    <row r="148" spans="1:34" s="26" customFormat="1" ht="69" customHeight="1" x14ac:dyDescent="0.25">
      <c r="A148" s="67">
        <v>137</v>
      </c>
      <c r="B148" s="82" t="s">
        <v>377</v>
      </c>
      <c r="C148" s="21" t="s">
        <v>508</v>
      </c>
      <c r="D148" s="22">
        <v>79200</v>
      </c>
      <c r="E148" s="23" t="str">
        <f t="shared" si="4"/>
        <v>GUANAJUATO</v>
      </c>
      <c r="F148" s="23" t="str">
        <f t="shared" si="5"/>
        <v>SAN FELIPE</v>
      </c>
      <c r="G148" s="66" t="s">
        <v>353</v>
      </c>
      <c r="H148" s="81" t="str">
        <f t="shared" si="51"/>
        <v>9
 CALENTADOR(ES)</v>
      </c>
      <c r="I148" s="25">
        <f t="shared" si="52"/>
        <v>45</v>
      </c>
      <c r="J148" s="32">
        <f t="shared" si="50"/>
        <v>9</v>
      </c>
      <c r="L148" s="27">
        <v>44788</v>
      </c>
      <c r="M148" s="28" t="s">
        <v>25</v>
      </c>
      <c r="N148" s="26" t="str">
        <f t="shared" si="42"/>
        <v>Capturado</v>
      </c>
      <c r="O148" s="26" t="str">
        <f t="shared" si="33"/>
        <v>Capturado</v>
      </c>
      <c r="P148" s="18"/>
      <c r="Q148" s="2" t="str">
        <f t="shared" si="35"/>
        <v>Imprimir</v>
      </c>
      <c r="R148" s="2"/>
      <c r="S148" s="2"/>
      <c r="T148" s="64"/>
      <c r="U148" s="18" t="s">
        <v>15</v>
      </c>
      <c r="V148" s="18" t="s">
        <v>15</v>
      </c>
      <c r="W148" s="18" t="str">
        <f t="shared" si="1"/>
        <v>CAP</v>
      </c>
      <c r="X148" s="18" t="str">
        <f t="shared" si="2"/>
        <v>. 137 - NC</v>
      </c>
      <c r="Y148" s="18"/>
      <c r="AA148" s="22">
        <v>0</v>
      </c>
      <c r="AB148" s="29" t="str">
        <f t="shared" si="3"/>
        <v>Cambió</v>
      </c>
      <c r="AC148" s="30" t="s">
        <v>37</v>
      </c>
      <c r="AD148" s="29" t="s">
        <v>33</v>
      </c>
      <c r="AE148" s="29" t="s">
        <v>33</v>
      </c>
      <c r="AF148" s="11" t="s">
        <v>72</v>
      </c>
      <c r="AG148" s="31"/>
      <c r="AH148" s="31"/>
    </row>
    <row r="149" spans="1:34" s="26" customFormat="1" ht="60" x14ac:dyDescent="0.25">
      <c r="A149" s="67">
        <v>138</v>
      </c>
      <c r="B149" s="82" t="s">
        <v>377</v>
      </c>
      <c r="C149" s="21" t="s">
        <v>509</v>
      </c>
      <c r="D149" s="22">
        <v>220000</v>
      </c>
      <c r="E149" s="23" t="str">
        <f t="shared" si="4"/>
        <v>GUANAJUATO</v>
      </c>
      <c r="F149" s="23" t="str">
        <f t="shared" si="5"/>
        <v>SAN FELIPE</v>
      </c>
      <c r="G149" s="79" t="s">
        <v>62</v>
      </c>
      <c r="H149" s="81" t="str">
        <f t="shared" si="51"/>
        <v>25
 CALENTADOR(ES)</v>
      </c>
      <c r="I149" s="25">
        <f t="shared" si="52"/>
        <v>125</v>
      </c>
      <c r="J149" s="32">
        <f t="shared" si="50"/>
        <v>25</v>
      </c>
      <c r="L149" s="27">
        <v>44788</v>
      </c>
      <c r="M149" s="28" t="s">
        <v>25</v>
      </c>
      <c r="N149" s="26" t="str">
        <f t="shared" si="42"/>
        <v>Capturado</v>
      </c>
      <c r="O149" s="26" t="str">
        <f t="shared" si="33"/>
        <v>Capturado</v>
      </c>
      <c r="P149" s="18"/>
      <c r="Q149" s="2" t="str">
        <f t="shared" si="35"/>
        <v>Imprimir</v>
      </c>
      <c r="R149" s="2"/>
      <c r="S149" s="2"/>
      <c r="T149" s="64"/>
      <c r="U149" s="18" t="s">
        <v>15</v>
      </c>
      <c r="V149" s="18" t="s">
        <v>15</v>
      </c>
      <c r="W149" s="18" t="str">
        <f t="shared" si="1"/>
        <v>CAP</v>
      </c>
      <c r="X149" s="18" t="str">
        <f t="shared" si="2"/>
        <v>. 138 - NC</v>
      </c>
      <c r="Y149" s="18"/>
      <c r="AA149" s="22">
        <v>0</v>
      </c>
      <c r="AB149" s="29" t="str">
        <f t="shared" si="3"/>
        <v>Cambió</v>
      </c>
      <c r="AC149" s="30" t="s">
        <v>44</v>
      </c>
      <c r="AD149" s="29" t="s">
        <v>33</v>
      </c>
      <c r="AE149" s="29" t="s">
        <v>33</v>
      </c>
      <c r="AF149" s="11" t="s">
        <v>72</v>
      </c>
      <c r="AG149" s="31"/>
      <c r="AH149" s="31"/>
    </row>
    <row r="150" spans="1:34" s="26" customFormat="1" ht="62.25" customHeight="1" x14ac:dyDescent="0.25">
      <c r="A150" s="67">
        <v>139</v>
      </c>
      <c r="B150" s="82" t="s">
        <v>377</v>
      </c>
      <c r="C150" s="21" t="s">
        <v>510</v>
      </c>
      <c r="D150" s="22">
        <v>44000</v>
      </c>
      <c r="E150" s="23" t="str">
        <f t="shared" si="4"/>
        <v>GUANAJUATO</v>
      </c>
      <c r="F150" s="23" t="str">
        <f t="shared" si="5"/>
        <v>SAN FELIPE</v>
      </c>
      <c r="G150" s="79" t="s">
        <v>634</v>
      </c>
      <c r="H150" s="81" t="str">
        <f t="shared" si="51"/>
        <v>5
 CALENTADOR(ES)</v>
      </c>
      <c r="I150" s="25">
        <f t="shared" si="52"/>
        <v>25</v>
      </c>
      <c r="J150" s="32">
        <f t="shared" si="50"/>
        <v>5</v>
      </c>
      <c r="L150" s="27">
        <v>44788</v>
      </c>
      <c r="M150" s="28" t="s">
        <v>25</v>
      </c>
      <c r="N150" s="26" t="str">
        <f t="shared" si="42"/>
        <v>Capturado</v>
      </c>
      <c r="O150" s="26" t="str">
        <f t="shared" si="33"/>
        <v>Capturado</v>
      </c>
      <c r="P150" s="18"/>
      <c r="Q150" s="2" t="str">
        <f t="shared" si="35"/>
        <v>Imprimir</v>
      </c>
      <c r="R150" s="2"/>
      <c r="S150" s="2"/>
      <c r="T150" s="64"/>
      <c r="U150" s="18" t="s">
        <v>15</v>
      </c>
      <c r="V150" s="18" t="s">
        <v>15</v>
      </c>
      <c r="W150" s="18" t="str">
        <f t="shared" si="1"/>
        <v>CAP</v>
      </c>
      <c r="X150" s="18" t="str">
        <f t="shared" si="2"/>
        <v>. 139 - NC</v>
      </c>
      <c r="Y150" s="18"/>
      <c r="AA150" s="22">
        <v>0</v>
      </c>
      <c r="AB150" s="29" t="str">
        <f t="shared" si="3"/>
        <v>Cambió</v>
      </c>
      <c r="AC150" s="30" t="s">
        <v>36</v>
      </c>
      <c r="AD150" s="29" t="s">
        <v>33</v>
      </c>
      <c r="AE150" s="29" t="s">
        <v>33</v>
      </c>
      <c r="AF150" s="11" t="s">
        <v>72</v>
      </c>
      <c r="AG150" s="31"/>
      <c r="AH150" s="31"/>
    </row>
    <row r="151" spans="1:34" s="26" customFormat="1" ht="61.5" customHeight="1" x14ac:dyDescent="0.25">
      <c r="A151" s="67">
        <v>140</v>
      </c>
      <c r="B151" s="82" t="s">
        <v>377</v>
      </c>
      <c r="C151" s="21" t="s">
        <v>511</v>
      </c>
      <c r="D151" s="22">
        <v>35200</v>
      </c>
      <c r="E151" s="23" t="str">
        <f t="shared" si="4"/>
        <v>GUANAJUATO</v>
      </c>
      <c r="F151" s="23" t="str">
        <f t="shared" si="5"/>
        <v>SAN FELIPE</v>
      </c>
      <c r="G151" s="66" t="s">
        <v>650</v>
      </c>
      <c r="H151" s="81" t="str">
        <f t="shared" si="51"/>
        <v>4
 CALENTADOR(ES)</v>
      </c>
      <c r="I151" s="25">
        <f t="shared" si="52"/>
        <v>20</v>
      </c>
      <c r="J151" s="32">
        <f t="shared" si="50"/>
        <v>4</v>
      </c>
      <c r="L151" s="27">
        <v>44788</v>
      </c>
      <c r="M151" s="28" t="s">
        <v>25</v>
      </c>
      <c r="N151" s="26" t="str">
        <f t="shared" ref="N151:N171" si="53">IF(G151&lt;&gt;0,"Capturado","")</f>
        <v>Capturado</v>
      </c>
      <c r="O151" s="26" t="str">
        <f t="shared" si="33"/>
        <v>Capturado</v>
      </c>
      <c r="P151" s="18"/>
      <c r="Q151" s="2" t="str">
        <f t="shared" si="35"/>
        <v>Imprimir</v>
      </c>
      <c r="R151" s="2"/>
      <c r="S151" s="2"/>
      <c r="T151" s="64"/>
      <c r="U151" s="18" t="s">
        <v>15</v>
      </c>
      <c r="V151" s="18" t="s">
        <v>15</v>
      </c>
      <c r="W151" s="18" t="str">
        <f t="shared" si="1"/>
        <v>CAP</v>
      </c>
      <c r="X151" s="18" t="str">
        <f t="shared" si="2"/>
        <v>. 140 - NC</v>
      </c>
      <c r="Y151" s="18"/>
      <c r="AA151" s="22">
        <v>0</v>
      </c>
      <c r="AB151" s="29" t="str">
        <f t="shared" si="3"/>
        <v>Cambió</v>
      </c>
      <c r="AC151" s="30" t="s">
        <v>37</v>
      </c>
      <c r="AD151" s="29" t="s">
        <v>33</v>
      </c>
      <c r="AE151" s="29" t="s">
        <v>33</v>
      </c>
      <c r="AF151" s="11" t="s">
        <v>72</v>
      </c>
      <c r="AG151" s="31"/>
      <c r="AH151" s="31"/>
    </row>
    <row r="152" spans="1:34" s="26" customFormat="1" ht="72.75" customHeight="1" x14ac:dyDescent="0.25">
      <c r="A152" s="67">
        <v>141</v>
      </c>
      <c r="B152" s="82" t="s">
        <v>377</v>
      </c>
      <c r="C152" s="21" t="s">
        <v>512</v>
      </c>
      <c r="D152" s="22">
        <v>70400</v>
      </c>
      <c r="E152" s="23" t="str">
        <f t="shared" si="4"/>
        <v>GUANAJUATO</v>
      </c>
      <c r="F152" s="23" t="str">
        <f t="shared" si="5"/>
        <v>SAN FELIPE</v>
      </c>
      <c r="G152" s="80" t="s">
        <v>372</v>
      </c>
      <c r="H152" s="81" t="str">
        <f t="shared" si="51"/>
        <v>8
 CALENTADOR(ES)</v>
      </c>
      <c r="I152" s="25">
        <f t="shared" si="52"/>
        <v>40</v>
      </c>
      <c r="J152" s="32">
        <f t="shared" si="50"/>
        <v>8</v>
      </c>
      <c r="L152" s="27">
        <v>44788</v>
      </c>
      <c r="M152" s="28" t="s">
        <v>25</v>
      </c>
      <c r="N152" s="26" t="str">
        <f t="shared" si="53"/>
        <v>Capturado</v>
      </c>
      <c r="O152" s="26" t="str">
        <f t="shared" si="33"/>
        <v>Capturado</v>
      </c>
      <c r="P152" s="18"/>
      <c r="Q152" s="2" t="str">
        <f t="shared" si="35"/>
        <v>Imprimir</v>
      </c>
      <c r="R152" s="2"/>
      <c r="S152" s="2"/>
      <c r="T152" s="64"/>
      <c r="U152" s="18" t="s">
        <v>15</v>
      </c>
      <c r="V152" s="18" t="s">
        <v>15</v>
      </c>
      <c r="W152" s="18" t="str">
        <f t="shared" ref="W152:W215" si="54">IF(L152="","","CAP")</f>
        <v>CAP</v>
      </c>
      <c r="X152" s="18" t="str">
        <f t="shared" ref="X152:X215" si="55">CONCATENATE($X$9,A152,$X$10,B152)</f>
        <v>. 141 - NC</v>
      </c>
      <c r="Y152" s="18"/>
      <c r="AA152" s="22">
        <v>0</v>
      </c>
      <c r="AB152" s="29" t="str">
        <f t="shared" ref="AB152:AB190" si="56">IF(D152&gt;0,IF(D152=AA152,"Sin Cambio","Cambió"),"")</f>
        <v>Cambió</v>
      </c>
      <c r="AC152" s="30" t="s">
        <v>31</v>
      </c>
      <c r="AD152" s="29" t="s">
        <v>33</v>
      </c>
      <c r="AE152" s="29" t="s">
        <v>33</v>
      </c>
      <c r="AF152" s="11" t="s">
        <v>72</v>
      </c>
      <c r="AG152" s="31"/>
      <c r="AH152" s="31"/>
    </row>
    <row r="153" spans="1:34" s="26" customFormat="1" ht="45" x14ac:dyDescent="0.25">
      <c r="A153" s="67">
        <v>142</v>
      </c>
      <c r="B153" s="82" t="s">
        <v>377</v>
      </c>
      <c r="C153" s="21" t="s">
        <v>513</v>
      </c>
      <c r="D153" s="22">
        <v>52800</v>
      </c>
      <c r="E153" s="23" t="str">
        <f t="shared" si="4"/>
        <v>GUANAJUATO</v>
      </c>
      <c r="F153" s="23" t="str">
        <f t="shared" si="5"/>
        <v>SAN FELIPE</v>
      </c>
      <c r="G153" s="80" t="s">
        <v>347</v>
      </c>
      <c r="H153" s="81" t="str">
        <f t="shared" si="51"/>
        <v>6
 CALENTADOR(ES)</v>
      </c>
      <c r="I153" s="25">
        <f t="shared" si="52"/>
        <v>30</v>
      </c>
      <c r="J153" s="32">
        <f t="shared" si="50"/>
        <v>6</v>
      </c>
      <c r="L153" s="27">
        <v>44788</v>
      </c>
      <c r="M153" s="28" t="s">
        <v>25</v>
      </c>
      <c r="N153" s="26" t="str">
        <f t="shared" si="53"/>
        <v>Capturado</v>
      </c>
      <c r="O153" s="26" t="str">
        <f t="shared" si="33"/>
        <v>Capturado</v>
      </c>
      <c r="P153" s="18"/>
      <c r="Q153" s="2" t="str">
        <f t="shared" si="35"/>
        <v>Imprimir</v>
      </c>
      <c r="R153" s="2"/>
      <c r="S153" s="2"/>
      <c r="T153" s="64"/>
      <c r="U153" s="18" t="s">
        <v>15</v>
      </c>
      <c r="V153" s="18" t="s">
        <v>15</v>
      </c>
      <c r="W153" s="18" t="str">
        <f t="shared" si="54"/>
        <v>CAP</v>
      </c>
      <c r="X153" s="18" t="str">
        <f t="shared" si="55"/>
        <v>. 142 - NC</v>
      </c>
      <c r="Y153" s="18"/>
      <c r="AA153" s="22">
        <v>0</v>
      </c>
      <c r="AB153" s="29" t="str">
        <f t="shared" si="56"/>
        <v>Cambió</v>
      </c>
      <c r="AC153" s="30" t="s">
        <v>31</v>
      </c>
      <c r="AD153" s="29" t="s">
        <v>33</v>
      </c>
      <c r="AE153" s="29" t="s">
        <v>33</v>
      </c>
      <c r="AF153" s="11" t="s">
        <v>72</v>
      </c>
      <c r="AG153" s="31"/>
      <c r="AH153" s="31"/>
    </row>
    <row r="154" spans="1:34" s="26" customFormat="1" ht="45" x14ac:dyDescent="0.25">
      <c r="A154" s="67">
        <v>143</v>
      </c>
      <c r="B154" s="82" t="s">
        <v>377</v>
      </c>
      <c r="C154" s="21" t="s">
        <v>514</v>
      </c>
      <c r="D154" s="22">
        <v>26400</v>
      </c>
      <c r="E154" s="23" t="str">
        <f t="shared" si="4"/>
        <v>GUANAJUATO</v>
      </c>
      <c r="F154" s="23" t="str">
        <f t="shared" si="5"/>
        <v>SAN FELIPE</v>
      </c>
      <c r="G154" s="66" t="s">
        <v>612</v>
      </c>
      <c r="H154" s="81" t="str">
        <f t="shared" si="51"/>
        <v>3
 CALENTADOR(ES)</v>
      </c>
      <c r="I154" s="25">
        <f t="shared" si="52"/>
        <v>15</v>
      </c>
      <c r="J154" s="32">
        <f t="shared" si="50"/>
        <v>3</v>
      </c>
      <c r="L154" s="27">
        <v>44788</v>
      </c>
      <c r="M154" s="28" t="s">
        <v>25</v>
      </c>
      <c r="N154" s="26" t="str">
        <f t="shared" si="53"/>
        <v>Capturado</v>
      </c>
      <c r="O154" s="26" t="str">
        <f t="shared" si="33"/>
        <v>Capturado</v>
      </c>
      <c r="P154" s="18"/>
      <c r="Q154" s="2" t="str">
        <f t="shared" si="35"/>
        <v>Imprimir</v>
      </c>
      <c r="R154" s="2"/>
      <c r="S154" s="2"/>
      <c r="T154" s="64"/>
      <c r="U154" s="18" t="s">
        <v>15</v>
      </c>
      <c r="V154" s="18" t="s">
        <v>15</v>
      </c>
      <c r="W154" s="18" t="str">
        <f t="shared" si="54"/>
        <v>CAP</v>
      </c>
      <c r="X154" s="18" t="str">
        <f t="shared" si="55"/>
        <v>. 143 - NC</v>
      </c>
      <c r="Y154" s="18"/>
      <c r="AA154" s="22">
        <v>0</v>
      </c>
      <c r="AB154" s="29" t="str">
        <f t="shared" si="56"/>
        <v>Cambió</v>
      </c>
      <c r="AC154" s="30" t="s">
        <v>31</v>
      </c>
      <c r="AD154" s="29" t="s">
        <v>33</v>
      </c>
      <c r="AE154" s="29" t="s">
        <v>33</v>
      </c>
      <c r="AF154" s="11" t="s">
        <v>72</v>
      </c>
      <c r="AG154" s="31"/>
      <c r="AH154" s="31"/>
    </row>
    <row r="155" spans="1:34" s="26" customFormat="1" ht="63.75" customHeight="1" x14ac:dyDescent="0.25">
      <c r="A155" s="67">
        <v>144</v>
      </c>
      <c r="B155" s="82" t="s">
        <v>377</v>
      </c>
      <c r="C155" s="21" t="s">
        <v>515</v>
      </c>
      <c r="D155" s="22">
        <v>123200</v>
      </c>
      <c r="E155" s="23" t="str">
        <f t="shared" si="4"/>
        <v>GUANAJUATO</v>
      </c>
      <c r="F155" s="23" t="str">
        <f t="shared" si="5"/>
        <v>SAN FELIPE</v>
      </c>
      <c r="G155" s="79" t="s">
        <v>614</v>
      </c>
      <c r="H155" s="81" t="str">
        <f t="shared" si="51"/>
        <v>14
 CALENTADOR(ES)</v>
      </c>
      <c r="I155" s="25">
        <f t="shared" si="52"/>
        <v>70</v>
      </c>
      <c r="J155" s="32">
        <f t="shared" si="50"/>
        <v>14</v>
      </c>
      <c r="L155" s="27">
        <v>44789</v>
      </c>
      <c r="M155" s="28" t="s">
        <v>25</v>
      </c>
      <c r="N155" s="26" t="str">
        <f t="shared" si="53"/>
        <v>Capturado</v>
      </c>
      <c r="O155" s="26" t="str">
        <f t="shared" ref="O155:O169" si="57">IF(H155&lt;&gt;0,"Capturado","")</f>
        <v>Capturado</v>
      </c>
      <c r="P155" s="18"/>
      <c r="Q155" s="2" t="str">
        <f t="shared" si="35"/>
        <v>Imprimir</v>
      </c>
      <c r="R155" s="2"/>
      <c r="S155" s="2"/>
      <c r="T155" s="64"/>
      <c r="U155" s="18" t="s">
        <v>15</v>
      </c>
      <c r="V155" s="18" t="s">
        <v>15</v>
      </c>
      <c r="W155" s="18" t="str">
        <f t="shared" si="54"/>
        <v>CAP</v>
      </c>
      <c r="X155" s="18" t="str">
        <f t="shared" si="55"/>
        <v>. 144 - NC</v>
      </c>
      <c r="Y155" s="18"/>
      <c r="AA155" s="22">
        <v>0</v>
      </c>
      <c r="AB155" s="29" t="str">
        <f t="shared" si="56"/>
        <v>Cambió</v>
      </c>
      <c r="AC155" s="30" t="s">
        <v>31</v>
      </c>
      <c r="AD155" s="29" t="s">
        <v>33</v>
      </c>
      <c r="AE155" s="29" t="s">
        <v>33</v>
      </c>
      <c r="AF155" s="11" t="s">
        <v>72</v>
      </c>
      <c r="AG155" s="31"/>
      <c r="AH155" s="31"/>
    </row>
    <row r="156" spans="1:34" s="26" customFormat="1" ht="64.5" customHeight="1" x14ac:dyDescent="0.25">
      <c r="A156" s="67">
        <v>145</v>
      </c>
      <c r="B156" s="82" t="s">
        <v>377</v>
      </c>
      <c r="C156" s="21" t="s">
        <v>516</v>
      </c>
      <c r="D156" s="22">
        <v>8800</v>
      </c>
      <c r="E156" s="23" t="str">
        <f t="shared" si="4"/>
        <v>GUANAJUATO</v>
      </c>
      <c r="F156" s="23" t="str">
        <f t="shared" si="5"/>
        <v>SAN FELIPE</v>
      </c>
      <c r="G156" s="66" t="s">
        <v>651</v>
      </c>
      <c r="H156" s="81" t="str">
        <f t="shared" si="51"/>
        <v>1
 CALENTADOR(ES)</v>
      </c>
      <c r="I156" s="25">
        <f t="shared" si="52"/>
        <v>5</v>
      </c>
      <c r="J156" s="32">
        <f t="shared" si="50"/>
        <v>1</v>
      </c>
      <c r="L156" s="27">
        <v>44789</v>
      </c>
      <c r="M156" s="28" t="s">
        <v>25</v>
      </c>
      <c r="N156" s="26" t="str">
        <f t="shared" si="53"/>
        <v>Capturado</v>
      </c>
      <c r="O156" s="26" t="str">
        <f t="shared" si="57"/>
        <v>Capturado</v>
      </c>
      <c r="P156" s="18"/>
      <c r="Q156" s="2" t="str">
        <f t="shared" ref="Q156:Q219" si="58">IF(C156&lt;&gt;0,"Imprimir","")</f>
        <v>Imprimir</v>
      </c>
      <c r="R156" s="2"/>
      <c r="S156" s="2"/>
      <c r="T156" s="64"/>
      <c r="U156" s="18" t="s">
        <v>15</v>
      </c>
      <c r="V156" s="18" t="s">
        <v>15</v>
      </c>
      <c r="W156" s="18" t="str">
        <f t="shared" si="54"/>
        <v>CAP</v>
      </c>
      <c r="X156" s="18" t="str">
        <f t="shared" si="55"/>
        <v>. 145 - NC</v>
      </c>
      <c r="Y156" s="18"/>
      <c r="AA156" s="22">
        <v>0</v>
      </c>
      <c r="AB156" s="29" t="str">
        <f t="shared" si="56"/>
        <v>Cambió</v>
      </c>
      <c r="AC156" s="30" t="s">
        <v>31</v>
      </c>
      <c r="AD156" s="29" t="s">
        <v>33</v>
      </c>
      <c r="AE156" s="29" t="s">
        <v>33</v>
      </c>
      <c r="AF156" s="11" t="s">
        <v>72</v>
      </c>
      <c r="AG156" s="31"/>
      <c r="AH156" s="31"/>
    </row>
    <row r="157" spans="1:34" s="26" customFormat="1" ht="58.5" customHeight="1" x14ac:dyDescent="0.25">
      <c r="A157" s="67">
        <v>146</v>
      </c>
      <c r="B157" s="82" t="s">
        <v>377</v>
      </c>
      <c r="C157" s="21" t="s">
        <v>517</v>
      </c>
      <c r="D157" s="22">
        <v>17600</v>
      </c>
      <c r="E157" s="23" t="str">
        <f t="shared" ref="E157" si="59">IF(D157&gt;0,"GUANAJUATO","")</f>
        <v>GUANAJUATO</v>
      </c>
      <c r="F157" s="23" t="str">
        <f t="shared" ref="F157" si="60">IF(D157&gt;0,"SAN FELIPE","")</f>
        <v>SAN FELIPE</v>
      </c>
      <c r="G157" s="66" t="s">
        <v>652</v>
      </c>
      <c r="H157" s="81" t="str">
        <f t="shared" si="51"/>
        <v>2
 CALENTADOR(ES)</v>
      </c>
      <c r="I157" s="25">
        <f t="shared" si="52"/>
        <v>10</v>
      </c>
      <c r="J157" s="32">
        <f t="shared" si="50"/>
        <v>2</v>
      </c>
      <c r="K157" s="32">
        <f>D157/J157</f>
        <v>8800</v>
      </c>
      <c r="L157" s="27">
        <v>44789</v>
      </c>
      <c r="M157" s="28" t="s">
        <v>25</v>
      </c>
      <c r="N157" s="26" t="str">
        <f t="shared" si="53"/>
        <v>Capturado</v>
      </c>
      <c r="O157" s="26" t="str">
        <f t="shared" si="57"/>
        <v>Capturado</v>
      </c>
      <c r="P157" s="18"/>
      <c r="Q157" s="2" t="str">
        <f t="shared" si="58"/>
        <v>Imprimir</v>
      </c>
      <c r="R157" s="2"/>
      <c r="S157" s="2"/>
      <c r="T157" s="64"/>
      <c r="U157" s="18" t="s">
        <v>15</v>
      </c>
      <c r="V157" s="18" t="s">
        <v>15</v>
      </c>
      <c r="W157" s="18" t="str">
        <f t="shared" ref="W157" si="61">IF(L157="","","CAP")</f>
        <v>CAP</v>
      </c>
      <c r="X157" s="18" t="str">
        <f t="shared" ref="X157" si="62">CONCATENATE($X$9,A157,$X$10,B157)</f>
        <v>. 146 - NC</v>
      </c>
      <c r="Y157" s="18"/>
      <c r="AA157" s="22">
        <v>0</v>
      </c>
      <c r="AB157" s="29" t="str">
        <f t="shared" ref="AB157" si="63">IF(D157&gt;0,IF(D157=AA157,"Sin Cambio","Cambió"),"")</f>
        <v>Cambió</v>
      </c>
      <c r="AC157" s="30" t="s">
        <v>31</v>
      </c>
      <c r="AD157" s="29" t="s">
        <v>33</v>
      </c>
      <c r="AE157" s="29" t="s">
        <v>33</v>
      </c>
      <c r="AF157" s="11" t="s">
        <v>72</v>
      </c>
      <c r="AG157" s="31"/>
      <c r="AH157" s="31"/>
    </row>
    <row r="158" spans="1:34" s="26" customFormat="1" ht="81.75" customHeight="1" x14ac:dyDescent="0.25">
      <c r="A158" s="67">
        <v>147</v>
      </c>
      <c r="B158" s="82" t="s">
        <v>377</v>
      </c>
      <c r="C158" s="21" t="s">
        <v>518</v>
      </c>
      <c r="D158" s="22">
        <v>8800</v>
      </c>
      <c r="E158" s="23" t="str">
        <f t="shared" si="4"/>
        <v>GUANAJUATO</v>
      </c>
      <c r="F158" s="23" t="str">
        <f t="shared" si="5"/>
        <v>SAN FELIPE</v>
      </c>
      <c r="G158" s="66" t="s">
        <v>653</v>
      </c>
      <c r="H158" s="81" t="str">
        <f t="shared" si="51"/>
        <v>1
 CALENTADOR(ES)</v>
      </c>
      <c r="I158" s="25">
        <f t="shared" si="52"/>
        <v>5</v>
      </c>
      <c r="J158" s="32">
        <f t="shared" si="50"/>
        <v>1</v>
      </c>
      <c r="L158" s="27">
        <v>44789</v>
      </c>
      <c r="M158" s="28" t="s">
        <v>25</v>
      </c>
      <c r="N158" s="26" t="str">
        <f t="shared" si="53"/>
        <v>Capturado</v>
      </c>
      <c r="O158" s="26" t="str">
        <f t="shared" si="57"/>
        <v>Capturado</v>
      </c>
      <c r="P158" s="18"/>
      <c r="Q158" s="2" t="str">
        <f t="shared" si="58"/>
        <v>Imprimir</v>
      </c>
      <c r="R158" s="2"/>
      <c r="S158" s="2"/>
      <c r="T158" s="64"/>
      <c r="U158" s="18" t="s">
        <v>15</v>
      </c>
      <c r="V158" s="18" t="s">
        <v>15</v>
      </c>
      <c r="W158" s="18" t="str">
        <f t="shared" si="54"/>
        <v>CAP</v>
      </c>
      <c r="X158" s="18" t="str">
        <f t="shared" si="55"/>
        <v>. 147 - NC</v>
      </c>
      <c r="Y158" s="18"/>
      <c r="AA158" s="22">
        <v>0</v>
      </c>
      <c r="AB158" s="29" t="str">
        <f t="shared" si="56"/>
        <v>Cambió</v>
      </c>
      <c r="AC158" s="30" t="s">
        <v>31</v>
      </c>
      <c r="AD158" s="29" t="s">
        <v>33</v>
      </c>
      <c r="AE158" s="29" t="s">
        <v>33</v>
      </c>
      <c r="AF158" s="11" t="s">
        <v>72</v>
      </c>
      <c r="AG158" s="31"/>
      <c r="AH158" s="31"/>
    </row>
    <row r="159" spans="1:34" s="26" customFormat="1" ht="77.25" customHeight="1" x14ac:dyDescent="0.25">
      <c r="A159" s="67">
        <v>148</v>
      </c>
      <c r="B159" s="82" t="s">
        <v>377</v>
      </c>
      <c r="C159" s="21" t="s">
        <v>519</v>
      </c>
      <c r="D159" s="22">
        <v>44000</v>
      </c>
      <c r="E159" s="23" t="str">
        <f t="shared" si="4"/>
        <v>GUANAJUATO</v>
      </c>
      <c r="F159" s="23" t="str">
        <f t="shared" si="5"/>
        <v>SAN FELIPE</v>
      </c>
      <c r="G159" s="66" t="s">
        <v>654</v>
      </c>
      <c r="H159" s="81" t="str">
        <f t="shared" si="51"/>
        <v>5
 CALENTADOR(ES)</v>
      </c>
      <c r="I159" s="25">
        <f t="shared" si="52"/>
        <v>25</v>
      </c>
      <c r="J159" s="32">
        <f t="shared" si="50"/>
        <v>5</v>
      </c>
      <c r="K159" s="32">
        <f>D159/J159</f>
        <v>8800</v>
      </c>
      <c r="L159" s="27">
        <v>44789</v>
      </c>
      <c r="M159" s="28" t="s">
        <v>25</v>
      </c>
      <c r="N159" s="26" t="str">
        <f t="shared" si="53"/>
        <v>Capturado</v>
      </c>
      <c r="O159" s="26" t="str">
        <f t="shared" si="57"/>
        <v>Capturado</v>
      </c>
      <c r="P159" s="77"/>
      <c r="Q159" s="2" t="str">
        <f t="shared" si="58"/>
        <v>Imprimir</v>
      </c>
      <c r="R159" s="2"/>
      <c r="S159" s="2"/>
      <c r="T159" s="64"/>
      <c r="U159" s="18" t="s">
        <v>15</v>
      </c>
      <c r="V159" s="18" t="s">
        <v>15</v>
      </c>
      <c r="W159" s="18" t="str">
        <f t="shared" si="54"/>
        <v>CAP</v>
      </c>
      <c r="X159" s="18" t="str">
        <f t="shared" si="55"/>
        <v>. 148 - NC</v>
      </c>
      <c r="Y159" s="18"/>
      <c r="AA159" s="22">
        <v>0</v>
      </c>
      <c r="AB159" s="29" t="str">
        <f t="shared" si="56"/>
        <v>Cambió</v>
      </c>
      <c r="AC159" s="30" t="s">
        <v>31</v>
      </c>
      <c r="AD159" s="29" t="s">
        <v>33</v>
      </c>
      <c r="AE159" s="29" t="s">
        <v>33</v>
      </c>
      <c r="AF159" s="11" t="s">
        <v>72</v>
      </c>
      <c r="AG159" s="31"/>
      <c r="AH159" s="31"/>
    </row>
    <row r="160" spans="1:34" s="26" customFormat="1" ht="83.25" customHeight="1" x14ac:dyDescent="0.25">
      <c r="A160" s="67">
        <v>149</v>
      </c>
      <c r="B160" s="82" t="s">
        <v>377</v>
      </c>
      <c r="C160" s="21" t="s">
        <v>520</v>
      </c>
      <c r="D160" s="22">
        <v>88000</v>
      </c>
      <c r="E160" s="23" t="str">
        <f t="shared" si="4"/>
        <v>GUANAJUATO</v>
      </c>
      <c r="F160" s="23" t="str">
        <f t="shared" si="5"/>
        <v>SAN FELIPE</v>
      </c>
      <c r="G160" s="66" t="s">
        <v>627</v>
      </c>
      <c r="H160" s="81" t="str">
        <f t="shared" si="51"/>
        <v>10
 CALENTADOR(ES)</v>
      </c>
      <c r="I160" s="25">
        <f t="shared" si="52"/>
        <v>50</v>
      </c>
      <c r="J160" s="32">
        <f t="shared" si="50"/>
        <v>10</v>
      </c>
      <c r="K160" s="26">
        <f>J160/8</f>
        <v>1.25</v>
      </c>
      <c r="L160" s="27">
        <v>44789</v>
      </c>
      <c r="M160" s="28" t="s">
        <v>25</v>
      </c>
      <c r="N160" s="26" t="str">
        <f t="shared" si="53"/>
        <v>Capturado</v>
      </c>
      <c r="O160" s="26" t="str">
        <f t="shared" si="57"/>
        <v>Capturado</v>
      </c>
      <c r="P160" s="77"/>
      <c r="Q160" s="2" t="str">
        <f t="shared" si="58"/>
        <v>Imprimir</v>
      </c>
      <c r="R160" s="2"/>
      <c r="S160" s="2"/>
      <c r="T160" s="64"/>
      <c r="U160" s="18" t="s">
        <v>15</v>
      </c>
      <c r="V160" s="18" t="s">
        <v>15</v>
      </c>
      <c r="W160" s="18" t="str">
        <f t="shared" si="54"/>
        <v>CAP</v>
      </c>
      <c r="X160" s="18" t="str">
        <f t="shared" si="55"/>
        <v>. 149 - NC</v>
      </c>
      <c r="Y160" s="18"/>
      <c r="AA160" s="22">
        <v>0</v>
      </c>
      <c r="AB160" s="29" t="str">
        <f t="shared" si="56"/>
        <v>Cambió</v>
      </c>
      <c r="AC160" s="30" t="s">
        <v>31</v>
      </c>
      <c r="AD160" s="29" t="s">
        <v>33</v>
      </c>
      <c r="AE160" s="29" t="s">
        <v>33</v>
      </c>
      <c r="AF160" s="11" t="s">
        <v>72</v>
      </c>
      <c r="AG160" s="31"/>
      <c r="AH160" s="31"/>
    </row>
    <row r="161" spans="1:34" s="26" customFormat="1" ht="85.5" customHeight="1" x14ac:dyDescent="0.25">
      <c r="A161" s="67">
        <v>150</v>
      </c>
      <c r="B161" s="82" t="s">
        <v>377</v>
      </c>
      <c r="C161" s="21" t="s">
        <v>521</v>
      </c>
      <c r="D161" s="22">
        <v>26400</v>
      </c>
      <c r="E161" s="23" t="str">
        <f t="shared" si="4"/>
        <v>GUANAJUATO</v>
      </c>
      <c r="F161" s="23" t="str">
        <f t="shared" si="5"/>
        <v>SAN FELIPE</v>
      </c>
      <c r="G161" s="66" t="s">
        <v>655</v>
      </c>
      <c r="H161" s="81" t="str">
        <f t="shared" si="51"/>
        <v>3
 CALENTADOR(ES)</v>
      </c>
      <c r="I161" s="25">
        <f t="shared" si="52"/>
        <v>15</v>
      </c>
      <c r="J161" s="32">
        <f t="shared" si="50"/>
        <v>3</v>
      </c>
      <c r="K161" s="32">
        <f>D161/J161</f>
        <v>8800</v>
      </c>
      <c r="L161" s="27">
        <v>44789</v>
      </c>
      <c r="M161" s="28" t="s">
        <v>25</v>
      </c>
      <c r="N161" s="26" t="str">
        <f t="shared" si="53"/>
        <v>Capturado</v>
      </c>
      <c r="O161" s="26" t="str">
        <f t="shared" si="57"/>
        <v>Capturado</v>
      </c>
      <c r="P161" s="77"/>
      <c r="Q161" s="2" t="str">
        <f t="shared" si="58"/>
        <v>Imprimir</v>
      </c>
      <c r="R161" s="2"/>
      <c r="S161" s="2"/>
      <c r="T161" s="64"/>
      <c r="U161" s="18" t="s">
        <v>15</v>
      </c>
      <c r="V161" s="18" t="s">
        <v>15</v>
      </c>
      <c r="W161" s="18" t="str">
        <f t="shared" si="54"/>
        <v>CAP</v>
      </c>
      <c r="X161" s="18" t="str">
        <f t="shared" si="55"/>
        <v>. 150 - NC</v>
      </c>
      <c r="Y161" s="18"/>
      <c r="AA161" s="22">
        <v>0</v>
      </c>
      <c r="AB161" s="29" t="str">
        <f t="shared" si="56"/>
        <v>Cambió</v>
      </c>
      <c r="AC161" s="30" t="s">
        <v>37</v>
      </c>
      <c r="AD161" s="29" t="s">
        <v>33</v>
      </c>
      <c r="AE161" s="29" t="s">
        <v>33</v>
      </c>
      <c r="AF161" s="11" t="s">
        <v>72</v>
      </c>
      <c r="AG161" s="31"/>
      <c r="AH161" s="31"/>
    </row>
    <row r="162" spans="1:34" s="26" customFormat="1" ht="86.25" customHeight="1" x14ac:dyDescent="0.25">
      <c r="A162" s="67">
        <v>151</v>
      </c>
      <c r="B162" s="82" t="s">
        <v>377</v>
      </c>
      <c r="C162" s="21" t="s">
        <v>522</v>
      </c>
      <c r="D162" s="22">
        <v>132000</v>
      </c>
      <c r="E162" s="23" t="str">
        <f t="shared" si="4"/>
        <v>GUANAJUATO</v>
      </c>
      <c r="F162" s="23" t="str">
        <f t="shared" si="5"/>
        <v>SAN FELIPE</v>
      </c>
      <c r="G162" s="80" t="s">
        <v>367</v>
      </c>
      <c r="H162" s="81" t="str">
        <f t="shared" si="51"/>
        <v>15
 CALENTADOR(ES)</v>
      </c>
      <c r="I162" s="25">
        <f t="shared" si="52"/>
        <v>75</v>
      </c>
      <c r="J162" s="32">
        <f t="shared" si="50"/>
        <v>15</v>
      </c>
      <c r="K162" s="26">
        <f>J162/8</f>
        <v>1.875</v>
      </c>
      <c r="L162" s="27">
        <v>44790</v>
      </c>
      <c r="M162" s="28" t="s">
        <v>25</v>
      </c>
      <c r="N162" s="26" t="str">
        <f t="shared" si="53"/>
        <v>Capturado</v>
      </c>
      <c r="O162" s="26" t="str">
        <f t="shared" si="57"/>
        <v>Capturado</v>
      </c>
      <c r="P162" s="77"/>
      <c r="Q162" s="2" t="str">
        <f t="shared" si="58"/>
        <v>Imprimir</v>
      </c>
      <c r="R162" s="2"/>
      <c r="S162" s="2"/>
      <c r="T162" s="64"/>
      <c r="U162" s="18" t="s">
        <v>15</v>
      </c>
      <c r="V162" s="18" t="s">
        <v>15</v>
      </c>
      <c r="W162" s="18" t="str">
        <f t="shared" si="54"/>
        <v>CAP</v>
      </c>
      <c r="X162" s="18" t="str">
        <f t="shared" si="55"/>
        <v>. 151 - NC</v>
      </c>
      <c r="Y162" s="18"/>
      <c r="AA162" s="22">
        <v>0</v>
      </c>
      <c r="AB162" s="29" t="str">
        <f t="shared" si="56"/>
        <v>Cambió</v>
      </c>
      <c r="AC162" s="30" t="s">
        <v>37</v>
      </c>
      <c r="AD162" s="29" t="s">
        <v>33</v>
      </c>
      <c r="AE162" s="29" t="s">
        <v>33</v>
      </c>
      <c r="AF162" s="11" t="s">
        <v>72</v>
      </c>
      <c r="AG162" s="31"/>
      <c r="AH162" s="31"/>
    </row>
    <row r="163" spans="1:34" s="26" customFormat="1" ht="77.25" customHeight="1" x14ac:dyDescent="0.25">
      <c r="A163" s="67">
        <v>152</v>
      </c>
      <c r="B163" s="82" t="s">
        <v>377</v>
      </c>
      <c r="C163" s="21" t="s">
        <v>523</v>
      </c>
      <c r="D163" s="22">
        <v>79200</v>
      </c>
      <c r="E163" s="23" t="str">
        <f t="shared" si="4"/>
        <v>GUANAJUATO</v>
      </c>
      <c r="F163" s="23" t="str">
        <f t="shared" si="5"/>
        <v>SAN FELIPE</v>
      </c>
      <c r="G163" s="66" t="s">
        <v>64</v>
      </c>
      <c r="H163" s="81" t="str">
        <f t="shared" si="51"/>
        <v>9
 CALENTADOR(ES)</v>
      </c>
      <c r="I163" s="25">
        <f t="shared" si="52"/>
        <v>45</v>
      </c>
      <c r="J163" s="32">
        <f t="shared" si="50"/>
        <v>9</v>
      </c>
      <c r="K163" s="32">
        <f>D163/J163</f>
        <v>8800</v>
      </c>
      <c r="L163" s="27">
        <v>44790</v>
      </c>
      <c r="M163" s="28" t="s">
        <v>25</v>
      </c>
      <c r="N163" s="26" t="str">
        <f t="shared" si="53"/>
        <v>Capturado</v>
      </c>
      <c r="O163" s="26" t="str">
        <f t="shared" si="57"/>
        <v>Capturado</v>
      </c>
      <c r="P163" s="18"/>
      <c r="Q163" s="2" t="str">
        <f t="shared" si="58"/>
        <v>Imprimir</v>
      </c>
      <c r="R163" s="2"/>
      <c r="S163" s="2"/>
      <c r="T163" s="64"/>
      <c r="U163" s="18" t="s">
        <v>15</v>
      </c>
      <c r="V163" s="18" t="s">
        <v>15</v>
      </c>
      <c r="W163" s="18" t="str">
        <f t="shared" si="54"/>
        <v>CAP</v>
      </c>
      <c r="X163" s="18" t="str">
        <f t="shared" si="55"/>
        <v>. 152 - NC</v>
      </c>
      <c r="Y163" s="18"/>
      <c r="AA163" s="22">
        <v>0</v>
      </c>
      <c r="AB163" s="29" t="str">
        <f t="shared" si="56"/>
        <v>Cambió</v>
      </c>
      <c r="AC163" s="30" t="s">
        <v>37</v>
      </c>
      <c r="AD163" s="29" t="s">
        <v>33</v>
      </c>
      <c r="AE163" s="29" t="s">
        <v>33</v>
      </c>
      <c r="AF163" s="11" t="s">
        <v>72</v>
      </c>
      <c r="AG163" s="31"/>
      <c r="AH163" s="31"/>
    </row>
    <row r="164" spans="1:34" s="26" customFormat="1" ht="84" customHeight="1" x14ac:dyDescent="0.25">
      <c r="A164" s="67">
        <v>153</v>
      </c>
      <c r="B164" s="82" t="s">
        <v>377</v>
      </c>
      <c r="C164" s="21" t="s">
        <v>524</v>
      </c>
      <c r="D164" s="22">
        <v>88000</v>
      </c>
      <c r="E164" s="23" t="str">
        <f t="shared" si="4"/>
        <v>GUANAJUATO</v>
      </c>
      <c r="F164" s="23" t="str">
        <f t="shared" si="5"/>
        <v>SAN FELIPE</v>
      </c>
      <c r="G164" s="80" t="s">
        <v>349</v>
      </c>
      <c r="H164" s="81" t="str">
        <f t="shared" si="51"/>
        <v>10
 CALENTADOR(ES)</v>
      </c>
      <c r="I164" s="25">
        <f t="shared" si="52"/>
        <v>50</v>
      </c>
      <c r="J164" s="32">
        <f t="shared" si="50"/>
        <v>10</v>
      </c>
      <c r="K164" s="26" t="b">
        <f>EXACT(C164,'[1]Presupuesto Egresos POA 2023'!P2156)</f>
        <v>0</v>
      </c>
      <c r="L164" s="27">
        <v>44790</v>
      </c>
      <c r="M164" s="28" t="s">
        <v>25</v>
      </c>
      <c r="N164" s="26" t="str">
        <f t="shared" si="53"/>
        <v>Capturado</v>
      </c>
      <c r="O164" s="26" t="str">
        <f t="shared" si="57"/>
        <v>Capturado</v>
      </c>
      <c r="P164" s="18"/>
      <c r="Q164" s="2" t="str">
        <f t="shared" si="58"/>
        <v>Imprimir</v>
      </c>
      <c r="R164" s="2"/>
      <c r="S164" s="2"/>
      <c r="T164" s="64"/>
      <c r="U164" s="18" t="s">
        <v>15</v>
      </c>
      <c r="V164" s="18" t="s">
        <v>15</v>
      </c>
      <c r="W164" s="18" t="str">
        <f t="shared" si="54"/>
        <v>CAP</v>
      </c>
      <c r="X164" s="18" t="str">
        <f t="shared" si="55"/>
        <v>. 153 - NC</v>
      </c>
      <c r="Y164" s="18"/>
      <c r="AA164" s="22">
        <v>0</v>
      </c>
      <c r="AB164" s="29" t="str">
        <f t="shared" si="56"/>
        <v>Cambió</v>
      </c>
      <c r="AC164" s="30" t="s">
        <v>37</v>
      </c>
      <c r="AD164" s="29" t="s">
        <v>33</v>
      </c>
      <c r="AE164" s="29" t="s">
        <v>33</v>
      </c>
      <c r="AF164" s="11" t="s">
        <v>72</v>
      </c>
      <c r="AG164" s="31"/>
      <c r="AH164" s="31"/>
    </row>
    <row r="165" spans="1:34" s="26" customFormat="1" ht="45" x14ac:dyDescent="0.25">
      <c r="A165" s="67">
        <v>154</v>
      </c>
      <c r="B165" s="82" t="s">
        <v>377</v>
      </c>
      <c r="C165" s="21" t="s">
        <v>525</v>
      </c>
      <c r="D165" s="22">
        <v>61600</v>
      </c>
      <c r="E165" s="23" t="str">
        <f t="shared" si="4"/>
        <v>GUANAJUATO</v>
      </c>
      <c r="F165" s="23" t="str">
        <f t="shared" si="5"/>
        <v>SAN FELIPE</v>
      </c>
      <c r="G165" s="80" t="s">
        <v>328</v>
      </c>
      <c r="H165" s="81" t="str">
        <f t="shared" si="51"/>
        <v>7
 CALENTADOR(ES)</v>
      </c>
      <c r="I165" s="25">
        <f t="shared" si="52"/>
        <v>35</v>
      </c>
      <c r="J165" s="32">
        <f t="shared" si="50"/>
        <v>7</v>
      </c>
      <c r="K165" s="26" t="b">
        <f>EXACT(C165,'[1]Presupuesto Egresos POA 2023'!P2157)</f>
        <v>0</v>
      </c>
      <c r="L165" s="27">
        <v>44790</v>
      </c>
      <c r="M165" s="28" t="s">
        <v>25</v>
      </c>
      <c r="N165" s="26" t="str">
        <f t="shared" si="53"/>
        <v>Capturado</v>
      </c>
      <c r="O165" s="26" t="str">
        <f t="shared" si="57"/>
        <v>Capturado</v>
      </c>
      <c r="P165" s="18"/>
      <c r="Q165" s="2" t="str">
        <f t="shared" si="58"/>
        <v>Imprimir</v>
      </c>
      <c r="R165" s="2"/>
      <c r="S165" s="2"/>
      <c r="T165" s="64"/>
      <c r="U165" s="18" t="s">
        <v>15</v>
      </c>
      <c r="V165" s="18" t="s">
        <v>15</v>
      </c>
      <c r="W165" s="18" t="str">
        <f t="shared" si="54"/>
        <v>CAP</v>
      </c>
      <c r="X165" s="18" t="str">
        <f t="shared" si="55"/>
        <v>. 154 - NC</v>
      </c>
      <c r="Y165" s="18"/>
      <c r="AA165" s="22">
        <v>0</v>
      </c>
      <c r="AB165" s="29" t="str">
        <f t="shared" si="56"/>
        <v>Cambió</v>
      </c>
      <c r="AC165" s="30" t="s">
        <v>37</v>
      </c>
      <c r="AD165" s="29" t="s">
        <v>33</v>
      </c>
      <c r="AE165" s="29" t="s">
        <v>33</v>
      </c>
      <c r="AF165" s="11" t="s">
        <v>72</v>
      </c>
      <c r="AG165" s="31"/>
      <c r="AH165" s="31"/>
    </row>
    <row r="166" spans="1:34" s="26" customFormat="1" ht="84" customHeight="1" x14ac:dyDescent="0.25">
      <c r="A166" s="67">
        <v>155</v>
      </c>
      <c r="B166" s="82" t="s">
        <v>377</v>
      </c>
      <c r="C166" s="21" t="s">
        <v>526</v>
      </c>
      <c r="D166" s="22">
        <v>132000</v>
      </c>
      <c r="E166" s="23" t="s">
        <v>11</v>
      </c>
      <c r="F166" s="23" t="s">
        <v>12</v>
      </c>
      <c r="G166" s="66" t="s">
        <v>326</v>
      </c>
      <c r="H166" s="81" t="str">
        <f t="shared" si="51"/>
        <v>15
 CALENTADOR(ES)</v>
      </c>
      <c r="I166" s="25">
        <f t="shared" si="52"/>
        <v>75</v>
      </c>
      <c r="J166" s="32">
        <f t="shared" si="50"/>
        <v>15</v>
      </c>
      <c r="K166" s="26" t="b">
        <f>EXACT(C166,'[1]Presupuesto Egresos POA 2023'!P2158)</f>
        <v>0</v>
      </c>
      <c r="L166" s="27">
        <v>44865</v>
      </c>
      <c r="M166" s="28" t="s">
        <v>26</v>
      </c>
      <c r="N166" s="26" t="str">
        <f t="shared" si="53"/>
        <v>Capturado</v>
      </c>
      <c r="O166" s="26" t="str">
        <f t="shared" si="57"/>
        <v>Capturado</v>
      </c>
      <c r="P166" s="18"/>
      <c r="Q166" s="2" t="str">
        <f t="shared" si="58"/>
        <v>Imprimir</v>
      </c>
      <c r="R166" s="2"/>
      <c r="S166" s="2"/>
      <c r="T166" s="64"/>
      <c r="U166" s="18" t="s">
        <v>15</v>
      </c>
      <c r="V166" s="18" t="s">
        <v>15</v>
      </c>
      <c r="W166" s="18" t="str">
        <f t="shared" si="54"/>
        <v>CAP</v>
      </c>
      <c r="X166" s="18" t="str">
        <f t="shared" si="55"/>
        <v>. 155 - NC</v>
      </c>
      <c r="Y166" s="18"/>
      <c r="AA166" s="22">
        <v>0</v>
      </c>
      <c r="AB166" s="29" t="str">
        <f t="shared" si="56"/>
        <v>Cambió</v>
      </c>
      <c r="AC166" s="30" t="s">
        <v>37</v>
      </c>
      <c r="AD166" s="29" t="s">
        <v>33</v>
      </c>
      <c r="AE166" s="29" t="s">
        <v>33</v>
      </c>
      <c r="AF166" s="11" t="s">
        <v>72</v>
      </c>
      <c r="AG166" s="31"/>
      <c r="AH166" s="31"/>
    </row>
    <row r="167" spans="1:34" s="26" customFormat="1" ht="45" x14ac:dyDescent="0.25">
      <c r="A167" s="67">
        <v>156</v>
      </c>
      <c r="B167" s="82" t="s">
        <v>377</v>
      </c>
      <c r="C167" s="21" t="s">
        <v>527</v>
      </c>
      <c r="D167" s="22">
        <v>26400</v>
      </c>
      <c r="E167" s="23" t="s">
        <v>11</v>
      </c>
      <c r="F167" s="23" t="s">
        <v>12</v>
      </c>
      <c r="G167" s="66" t="s">
        <v>643</v>
      </c>
      <c r="H167" s="81" t="str">
        <f t="shared" si="51"/>
        <v>3
 CALENTADOR(ES)</v>
      </c>
      <c r="I167" s="25">
        <f t="shared" si="52"/>
        <v>15</v>
      </c>
      <c r="J167" s="32">
        <f t="shared" si="50"/>
        <v>3</v>
      </c>
      <c r="K167" s="26" t="b">
        <f>EXACT(C167,'[1]Presupuesto Egresos POA 2023'!P2161)</f>
        <v>0</v>
      </c>
      <c r="L167" s="27">
        <v>44865</v>
      </c>
      <c r="M167" s="28" t="s">
        <v>26</v>
      </c>
      <c r="N167" s="26" t="str">
        <f t="shared" si="53"/>
        <v>Capturado</v>
      </c>
      <c r="O167" s="26" t="str">
        <f t="shared" si="57"/>
        <v>Capturado</v>
      </c>
      <c r="P167" s="18"/>
      <c r="Q167" s="2" t="str">
        <f t="shared" si="58"/>
        <v>Imprimir</v>
      </c>
      <c r="R167" s="2"/>
      <c r="S167" s="2"/>
      <c r="T167" s="64"/>
      <c r="U167" s="26" t="s">
        <v>15</v>
      </c>
      <c r="V167" s="18" t="s">
        <v>15</v>
      </c>
      <c r="W167" s="18" t="str">
        <f t="shared" si="54"/>
        <v>CAP</v>
      </c>
      <c r="X167" s="18" t="str">
        <f t="shared" si="55"/>
        <v>. 156 - NC</v>
      </c>
      <c r="Y167" s="18"/>
      <c r="AA167" s="22">
        <v>0</v>
      </c>
      <c r="AB167" s="29" t="str">
        <f t="shared" si="56"/>
        <v>Cambió</v>
      </c>
      <c r="AC167" s="30" t="s">
        <v>37</v>
      </c>
      <c r="AD167" s="29" t="s">
        <v>33</v>
      </c>
      <c r="AE167" s="29" t="s">
        <v>33</v>
      </c>
      <c r="AF167" s="11" t="s">
        <v>72</v>
      </c>
      <c r="AG167" s="31"/>
      <c r="AH167" s="31"/>
    </row>
    <row r="168" spans="1:34" s="26" customFormat="1" ht="81.75" customHeight="1" x14ac:dyDescent="0.25">
      <c r="A168" s="67">
        <v>157</v>
      </c>
      <c r="B168" s="82" t="s">
        <v>377</v>
      </c>
      <c r="C168" s="21" t="s">
        <v>528</v>
      </c>
      <c r="D168" s="22">
        <v>70400</v>
      </c>
      <c r="E168" s="23" t="str">
        <f t="shared" ref="E168:E224" si="64">IF(D168&gt;0,"GUANAJUATO","")</f>
        <v>GUANAJUATO</v>
      </c>
      <c r="F168" s="23" t="str">
        <f t="shared" ref="F168:F224" si="65">IF(D168&gt;0,"SAN FELIPE","")</f>
        <v>SAN FELIPE</v>
      </c>
      <c r="G168" s="66" t="s">
        <v>376</v>
      </c>
      <c r="H168" s="81" t="str">
        <f t="shared" si="51"/>
        <v>8
 CALENTADOR(ES)</v>
      </c>
      <c r="I168" s="25">
        <f t="shared" si="52"/>
        <v>40</v>
      </c>
      <c r="J168" s="32">
        <f t="shared" si="50"/>
        <v>8</v>
      </c>
      <c r="K168" s="26" t="b">
        <f>EXACT(C168,'[1]Presupuesto Egresos POA 2023'!P2162)</f>
        <v>0</v>
      </c>
      <c r="L168" s="27">
        <v>44865</v>
      </c>
      <c r="M168" s="28" t="s">
        <v>26</v>
      </c>
      <c r="N168" s="26" t="str">
        <f t="shared" si="53"/>
        <v>Capturado</v>
      </c>
      <c r="O168" s="26" t="str">
        <f t="shared" si="57"/>
        <v>Capturado</v>
      </c>
      <c r="P168" s="18"/>
      <c r="Q168" s="2" t="str">
        <f t="shared" si="58"/>
        <v>Imprimir</v>
      </c>
      <c r="R168" s="2"/>
      <c r="S168" s="2"/>
      <c r="T168" s="64"/>
      <c r="U168" s="18" t="s">
        <v>15</v>
      </c>
      <c r="V168" s="18" t="s">
        <v>15</v>
      </c>
      <c r="W168" s="18" t="str">
        <f t="shared" si="54"/>
        <v>CAP</v>
      </c>
      <c r="X168" s="18" t="str">
        <f t="shared" si="55"/>
        <v>. 157 - NC</v>
      </c>
      <c r="Y168" s="18"/>
      <c r="AA168" s="22">
        <v>0</v>
      </c>
      <c r="AB168" s="29" t="str">
        <f t="shared" si="56"/>
        <v>Cambió</v>
      </c>
      <c r="AC168" s="30" t="s">
        <v>36</v>
      </c>
      <c r="AD168" s="29" t="s">
        <v>33</v>
      </c>
      <c r="AE168" s="29" t="s">
        <v>33</v>
      </c>
      <c r="AF168" s="11" t="s">
        <v>72</v>
      </c>
      <c r="AG168" s="31"/>
      <c r="AH168" s="31"/>
    </row>
    <row r="169" spans="1:34" s="26" customFormat="1" ht="83.25" customHeight="1" x14ac:dyDescent="0.25">
      <c r="A169" s="67">
        <v>158</v>
      </c>
      <c r="B169" s="82" t="s">
        <v>377</v>
      </c>
      <c r="C169" s="21" t="s">
        <v>529</v>
      </c>
      <c r="D169" s="22">
        <v>44000</v>
      </c>
      <c r="E169" s="23" t="str">
        <f t="shared" si="64"/>
        <v>GUANAJUATO</v>
      </c>
      <c r="F169" s="23" t="str">
        <f t="shared" si="65"/>
        <v>SAN FELIPE</v>
      </c>
      <c r="G169" s="66" t="s">
        <v>640</v>
      </c>
      <c r="H169" s="81" t="str">
        <f t="shared" si="51"/>
        <v>5
 CALENTADOR(ES)</v>
      </c>
      <c r="I169" s="25">
        <f t="shared" si="52"/>
        <v>25</v>
      </c>
      <c r="J169" s="32">
        <f t="shared" si="50"/>
        <v>5</v>
      </c>
      <c r="K169" s="26" t="b">
        <f>EXACT(C169,'[1]Presupuesto Egresos POA 2023'!P2163)</f>
        <v>0</v>
      </c>
      <c r="L169" s="27">
        <v>44866</v>
      </c>
      <c r="M169" s="28" t="s">
        <v>26</v>
      </c>
      <c r="N169" s="26" t="str">
        <f t="shared" si="53"/>
        <v>Capturado</v>
      </c>
      <c r="O169" s="26" t="str">
        <f t="shared" si="57"/>
        <v>Capturado</v>
      </c>
      <c r="P169" s="18"/>
      <c r="Q169" s="2" t="str">
        <f t="shared" si="58"/>
        <v>Imprimir</v>
      </c>
      <c r="R169" s="2"/>
      <c r="S169" s="2"/>
      <c r="T169" s="64"/>
      <c r="U169" s="18" t="s">
        <v>15</v>
      </c>
      <c r="V169" s="18" t="s">
        <v>15</v>
      </c>
      <c r="W169" s="18" t="str">
        <f t="shared" si="54"/>
        <v>CAP</v>
      </c>
      <c r="X169" s="18" t="str">
        <f t="shared" si="55"/>
        <v>. 158 - NC</v>
      </c>
      <c r="Y169" s="18"/>
      <c r="AA169" s="22">
        <v>0</v>
      </c>
      <c r="AB169" s="29" t="str">
        <f t="shared" si="56"/>
        <v>Cambió</v>
      </c>
      <c r="AC169" s="30" t="s">
        <v>36</v>
      </c>
      <c r="AD169" s="29" t="s">
        <v>33</v>
      </c>
      <c r="AE169" s="29" t="s">
        <v>33</v>
      </c>
      <c r="AF169" s="11" t="s">
        <v>72</v>
      </c>
      <c r="AG169" s="31"/>
      <c r="AH169" s="31"/>
    </row>
    <row r="170" spans="1:34" s="26" customFormat="1" ht="81" customHeight="1" x14ac:dyDescent="0.25">
      <c r="A170" s="67">
        <v>159</v>
      </c>
      <c r="B170" s="82" t="s">
        <v>377</v>
      </c>
      <c r="C170" s="21" t="s">
        <v>530</v>
      </c>
      <c r="D170" s="22">
        <v>88000</v>
      </c>
      <c r="E170" s="23" t="str">
        <f t="shared" si="64"/>
        <v>GUANAJUATO</v>
      </c>
      <c r="F170" s="23" t="str">
        <f t="shared" si="65"/>
        <v>SAN FELIPE</v>
      </c>
      <c r="G170" s="66" t="s">
        <v>656</v>
      </c>
      <c r="H170" s="81" t="str">
        <f t="shared" si="51"/>
        <v>10
 CALENTADOR(ES)</v>
      </c>
      <c r="I170" s="25">
        <f t="shared" si="52"/>
        <v>50</v>
      </c>
      <c r="J170" s="32">
        <f t="shared" si="50"/>
        <v>10</v>
      </c>
      <c r="K170" s="26" t="b">
        <f>EXACT(C170,'[1]Presupuesto Egresos POA 2023'!P2164)</f>
        <v>0</v>
      </c>
      <c r="L170" s="27">
        <v>44866</v>
      </c>
      <c r="M170" s="28" t="s">
        <v>26</v>
      </c>
      <c r="N170" s="26" t="str">
        <f t="shared" si="53"/>
        <v>Capturado</v>
      </c>
      <c r="O170" s="26" t="str">
        <f>IF(H170&lt;&gt;0,"Capturado","")</f>
        <v>Capturado</v>
      </c>
      <c r="P170" s="18"/>
      <c r="Q170" s="2" t="str">
        <f t="shared" si="58"/>
        <v>Imprimir</v>
      </c>
      <c r="R170" s="2"/>
      <c r="S170" s="2"/>
      <c r="T170" s="64"/>
      <c r="U170" s="26" t="s">
        <v>15</v>
      </c>
      <c r="V170" s="18" t="s">
        <v>15</v>
      </c>
      <c r="W170" s="18" t="str">
        <f t="shared" si="54"/>
        <v>CAP</v>
      </c>
      <c r="X170" s="18" t="str">
        <f t="shared" si="55"/>
        <v>. 159 - NC</v>
      </c>
      <c r="Y170" s="18"/>
      <c r="AA170" s="22">
        <v>0</v>
      </c>
      <c r="AB170" s="29" t="str">
        <f t="shared" si="56"/>
        <v>Cambió</v>
      </c>
      <c r="AC170" s="30" t="s">
        <v>36</v>
      </c>
      <c r="AD170" s="29" t="s">
        <v>33</v>
      </c>
      <c r="AE170" s="29" t="s">
        <v>33</v>
      </c>
      <c r="AF170" s="11" t="s">
        <v>72</v>
      </c>
      <c r="AG170" s="31"/>
      <c r="AH170" s="31"/>
    </row>
    <row r="171" spans="1:34" s="26" customFormat="1" ht="81.75" customHeight="1" x14ac:dyDescent="0.25">
      <c r="A171" s="67">
        <v>160</v>
      </c>
      <c r="B171" s="82" t="s">
        <v>377</v>
      </c>
      <c r="C171" s="21" t="s">
        <v>531</v>
      </c>
      <c r="D171" s="22">
        <v>176000</v>
      </c>
      <c r="E171" s="23" t="str">
        <f t="shared" si="64"/>
        <v>GUANAJUATO</v>
      </c>
      <c r="F171" s="23" t="str">
        <f t="shared" si="65"/>
        <v>SAN FELIPE</v>
      </c>
      <c r="G171" s="66" t="s">
        <v>338</v>
      </c>
      <c r="H171" s="81" t="str">
        <f t="shared" si="51"/>
        <v>20
 CALENTADOR(ES)</v>
      </c>
      <c r="I171" s="25">
        <f t="shared" si="52"/>
        <v>100</v>
      </c>
      <c r="J171" s="32">
        <f t="shared" si="50"/>
        <v>20</v>
      </c>
      <c r="K171" s="26">
        <f>J171/8</f>
        <v>2.5</v>
      </c>
      <c r="L171" s="27">
        <v>44868</v>
      </c>
      <c r="M171" s="28" t="s">
        <v>26</v>
      </c>
      <c r="N171" s="26" t="str">
        <f t="shared" si="53"/>
        <v>Capturado</v>
      </c>
      <c r="O171" s="26" t="str">
        <f t="shared" ref="O171" si="66">IF(H171&lt;&gt;0,"Capturado","")</f>
        <v>Capturado</v>
      </c>
      <c r="P171" s="18"/>
      <c r="Q171" s="2" t="str">
        <f t="shared" si="58"/>
        <v>Imprimir</v>
      </c>
      <c r="R171" s="2"/>
      <c r="S171" s="2"/>
      <c r="T171" s="64"/>
      <c r="U171" s="26" t="s">
        <v>15</v>
      </c>
      <c r="V171" s="18" t="s">
        <v>15</v>
      </c>
      <c r="W171" s="18" t="str">
        <f t="shared" si="54"/>
        <v>CAP</v>
      </c>
      <c r="X171" s="18" t="str">
        <f t="shared" si="55"/>
        <v>. 160 - NC</v>
      </c>
      <c r="Y171" s="18"/>
      <c r="AA171" s="22">
        <v>0</v>
      </c>
      <c r="AB171" s="29" t="str">
        <f t="shared" si="56"/>
        <v>Cambió</v>
      </c>
      <c r="AC171" s="30" t="s">
        <v>36</v>
      </c>
      <c r="AD171" s="29" t="s">
        <v>33</v>
      </c>
      <c r="AE171" s="29" t="s">
        <v>33</v>
      </c>
      <c r="AF171" s="11" t="s">
        <v>72</v>
      </c>
      <c r="AG171" s="31"/>
      <c r="AH171" s="31"/>
    </row>
    <row r="172" spans="1:34" s="26" customFormat="1" ht="78.75" customHeight="1" x14ac:dyDescent="0.25">
      <c r="A172" s="67">
        <v>161</v>
      </c>
      <c r="B172" s="82" t="s">
        <v>377</v>
      </c>
      <c r="C172" s="21" t="s">
        <v>532</v>
      </c>
      <c r="D172" s="22">
        <v>132000</v>
      </c>
      <c r="E172" s="23" t="str">
        <f t="shared" si="64"/>
        <v>GUANAJUATO</v>
      </c>
      <c r="F172" s="23" t="str">
        <f t="shared" si="65"/>
        <v>SAN FELIPE</v>
      </c>
      <c r="G172" s="66" t="s">
        <v>628</v>
      </c>
      <c r="H172" s="81" t="str">
        <f t="shared" si="51"/>
        <v>15
 CALENTADOR(ES)</v>
      </c>
      <c r="I172" s="25">
        <f t="shared" si="52"/>
        <v>75</v>
      </c>
      <c r="J172" s="32">
        <f t="shared" si="50"/>
        <v>15</v>
      </c>
      <c r="K172" s="26" t="b">
        <f>EXACT(C172,'[1]Presupuesto Egresos POA 2023'!P2166)</f>
        <v>0</v>
      </c>
      <c r="L172" s="27">
        <v>44868</v>
      </c>
      <c r="M172" s="28" t="s">
        <v>26</v>
      </c>
      <c r="P172" s="18" t="s">
        <v>331</v>
      </c>
      <c r="Q172" s="2" t="str">
        <f t="shared" si="58"/>
        <v>Imprimir</v>
      </c>
      <c r="R172" s="2" t="s">
        <v>333</v>
      </c>
      <c r="S172" s="2"/>
      <c r="T172" s="64"/>
      <c r="U172" s="18" t="s">
        <v>15</v>
      </c>
      <c r="V172" s="18" t="s">
        <v>15</v>
      </c>
      <c r="W172" s="18" t="str">
        <f t="shared" si="54"/>
        <v>CAP</v>
      </c>
      <c r="X172" s="18" t="str">
        <f t="shared" si="55"/>
        <v>. 161 - NC</v>
      </c>
      <c r="Y172" s="18"/>
      <c r="AA172" s="22">
        <v>0</v>
      </c>
      <c r="AB172" s="29" t="str">
        <f t="shared" si="56"/>
        <v>Cambió</v>
      </c>
      <c r="AC172" s="30" t="s">
        <v>37</v>
      </c>
      <c r="AD172" s="29" t="s">
        <v>33</v>
      </c>
      <c r="AE172" s="29" t="s">
        <v>33</v>
      </c>
      <c r="AF172" s="11" t="s">
        <v>72</v>
      </c>
      <c r="AG172" s="31"/>
      <c r="AH172" s="31"/>
    </row>
    <row r="173" spans="1:34" s="26" customFormat="1" ht="85.5" customHeight="1" x14ac:dyDescent="0.25">
      <c r="A173" s="67">
        <v>162</v>
      </c>
      <c r="B173" s="82" t="s">
        <v>377</v>
      </c>
      <c r="C173" s="21" t="s">
        <v>533</v>
      </c>
      <c r="D173" s="22">
        <v>88000</v>
      </c>
      <c r="E173" s="23" t="str">
        <f t="shared" si="64"/>
        <v>GUANAJUATO</v>
      </c>
      <c r="F173" s="23" t="str">
        <f t="shared" si="65"/>
        <v>SAN FELIPE</v>
      </c>
      <c r="G173" s="66" t="s">
        <v>639</v>
      </c>
      <c r="H173" s="81" t="str">
        <f t="shared" si="51"/>
        <v>10
 CALENTADOR(ES)</v>
      </c>
      <c r="I173" s="25">
        <f t="shared" si="52"/>
        <v>50</v>
      </c>
      <c r="J173" s="32">
        <f t="shared" si="50"/>
        <v>10</v>
      </c>
      <c r="K173" s="26" t="b">
        <f>EXACT(C173,'[1]Presupuesto Egresos POA 2023'!P2167)</f>
        <v>0</v>
      </c>
      <c r="L173" s="27">
        <v>44868</v>
      </c>
      <c r="M173" s="28" t="s">
        <v>26</v>
      </c>
      <c r="N173" s="26" t="str">
        <f>IF(G173&lt;&gt;0,"Capturado","")</f>
        <v>Capturado</v>
      </c>
      <c r="O173" s="26" t="str">
        <f>IF(H173&lt;&gt;0,"Capturado","")</f>
        <v>Capturado</v>
      </c>
      <c r="P173" s="18"/>
      <c r="Q173" s="2" t="str">
        <f t="shared" si="58"/>
        <v>Imprimir</v>
      </c>
      <c r="R173" s="2"/>
      <c r="S173" s="2"/>
      <c r="T173" s="64"/>
      <c r="U173" s="18" t="s">
        <v>15</v>
      </c>
      <c r="V173" s="18" t="s">
        <v>15</v>
      </c>
      <c r="W173" s="18" t="str">
        <f t="shared" si="54"/>
        <v>CAP</v>
      </c>
      <c r="X173" s="18" t="str">
        <f t="shared" si="55"/>
        <v>. 162 - NC</v>
      </c>
      <c r="Y173" s="18"/>
      <c r="AA173" s="22">
        <v>0</v>
      </c>
      <c r="AB173" s="29" t="str">
        <f t="shared" si="56"/>
        <v>Cambió</v>
      </c>
      <c r="AC173" s="30" t="s">
        <v>37</v>
      </c>
      <c r="AD173" s="29" t="s">
        <v>33</v>
      </c>
      <c r="AE173" s="29" t="s">
        <v>33</v>
      </c>
      <c r="AF173" s="11" t="s">
        <v>72</v>
      </c>
      <c r="AG173" s="31"/>
      <c r="AH173" s="31"/>
    </row>
    <row r="174" spans="1:34" s="26" customFormat="1" ht="45" x14ac:dyDescent="0.25">
      <c r="A174" s="67">
        <v>163</v>
      </c>
      <c r="B174" s="82" t="s">
        <v>377</v>
      </c>
      <c r="C174" s="21" t="s">
        <v>534</v>
      </c>
      <c r="D174" s="22">
        <v>61600</v>
      </c>
      <c r="E174" s="23" t="str">
        <f t="shared" si="64"/>
        <v>GUANAJUATO</v>
      </c>
      <c r="F174" s="23" t="str">
        <f t="shared" si="65"/>
        <v>SAN FELIPE</v>
      </c>
      <c r="G174" s="66" t="s">
        <v>657</v>
      </c>
      <c r="H174" s="81" t="str">
        <f t="shared" si="51"/>
        <v>7
 CALENTADOR(ES)</v>
      </c>
      <c r="I174" s="25">
        <f t="shared" si="52"/>
        <v>35</v>
      </c>
      <c r="J174" s="32">
        <f t="shared" si="50"/>
        <v>7</v>
      </c>
      <c r="K174" s="26" t="b">
        <f>EXACT(C174,'[1]Presupuesto Egresos POA 2023'!P2168)</f>
        <v>0</v>
      </c>
      <c r="L174" s="27">
        <v>44868</v>
      </c>
      <c r="M174" s="28" t="s">
        <v>26</v>
      </c>
      <c r="P174" s="18" t="s">
        <v>331</v>
      </c>
      <c r="Q174" s="2" t="str">
        <f t="shared" si="58"/>
        <v>Imprimir</v>
      </c>
      <c r="R174" s="2" t="s">
        <v>333</v>
      </c>
      <c r="S174" s="2"/>
      <c r="T174" s="64"/>
      <c r="U174" s="18" t="s">
        <v>15</v>
      </c>
      <c r="V174" s="18" t="s">
        <v>15</v>
      </c>
      <c r="W174" s="18" t="str">
        <f t="shared" si="54"/>
        <v>CAP</v>
      </c>
      <c r="X174" s="18" t="str">
        <f t="shared" si="55"/>
        <v>. 163 - NC</v>
      </c>
      <c r="Y174" s="18"/>
      <c r="AA174" s="22">
        <v>0</v>
      </c>
      <c r="AB174" s="29" t="str">
        <f t="shared" si="56"/>
        <v>Cambió</v>
      </c>
      <c r="AC174" s="30" t="s">
        <v>37</v>
      </c>
      <c r="AD174" s="29" t="s">
        <v>33</v>
      </c>
      <c r="AE174" s="29" t="s">
        <v>33</v>
      </c>
      <c r="AF174" s="11" t="s">
        <v>72</v>
      </c>
      <c r="AG174" s="31"/>
      <c r="AH174" s="31"/>
    </row>
    <row r="175" spans="1:34" s="26" customFormat="1" ht="88.5" customHeight="1" x14ac:dyDescent="0.25">
      <c r="A175" s="67">
        <v>164</v>
      </c>
      <c r="B175" s="82" t="s">
        <v>377</v>
      </c>
      <c r="C175" s="21" t="s">
        <v>535</v>
      </c>
      <c r="D175" s="22">
        <v>88000</v>
      </c>
      <c r="E175" s="23" t="str">
        <f t="shared" si="64"/>
        <v>GUANAJUATO</v>
      </c>
      <c r="F175" s="23" t="str">
        <f t="shared" si="65"/>
        <v>SAN FELIPE</v>
      </c>
      <c r="G175" s="66" t="s">
        <v>623</v>
      </c>
      <c r="H175" s="81" t="str">
        <f t="shared" si="51"/>
        <v>10
 CALENTADOR(ES)</v>
      </c>
      <c r="I175" s="25">
        <f t="shared" si="52"/>
        <v>50</v>
      </c>
      <c r="J175" s="32">
        <f t="shared" si="50"/>
        <v>10</v>
      </c>
      <c r="K175" s="26" t="b">
        <f>EXACT(C175,'[1]Presupuesto Egresos POA 2023'!P2169)</f>
        <v>0</v>
      </c>
      <c r="L175" s="27">
        <v>44868</v>
      </c>
      <c r="M175" s="28" t="s">
        <v>26</v>
      </c>
      <c r="N175" s="26" t="str">
        <f t="shared" ref="N175:N177" si="67">IF(G175&lt;&gt;0,"Capturado","")</f>
        <v>Capturado</v>
      </c>
      <c r="O175" s="26" t="str">
        <f t="shared" ref="O175:O177" si="68">IF(H175&lt;&gt;0,"Capturado","")</f>
        <v>Capturado</v>
      </c>
      <c r="P175" s="18"/>
      <c r="Q175" s="2" t="str">
        <f t="shared" si="58"/>
        <v>Imprimir</v>
      </c>
      <c r="R175" s="2"/>
      <c r="S175" s="2"/>
      <c r="T175" s="64"/>
      <c r="U175" s="18" t="s">
        <v>15</v>
      </c>
      <c r="V175" s="18" t="s">
        <v>15</v>
      </c>
      <c r="W175" s="18" t="str">
        <f t="shared" si="54"/>
        <v>CAP</v>
      </c>
      <c r="X175" s="18" t="str">
        <f t="shared" si="55"/>
        <v>. 164 - NC</v>
      </c>
      <c r="Y175" s="18"/>
      <c r="AA175" s="22">
        <v>0</v>
      </c>
      <c r="AB175" s="29" t="str">
        <f t="shared" si="56"/>
        <v>Cambió</v>
      </c>
      <c r="AC175" s="30" t="s">
        <v>37</v>
      </c>
      <c r="AD175" s="29" t="s">
        <v>33</v>
      </c>
      <c r="AE175" s="29" t="s">
        <v>33</v>
      </c>
      <c r="AF175" s="11" t="s">
        <v>72</v>
      </c>
      <c r="AG175" s="31"/>
      <c r="AH175" s="31"/>
    </row>
    <row r="176" spans="1:34" s="26" customFormat="1" ht="45" x14ac:dyDescent="0.25">
      <c r="A176" s="67">
        <v>165</v>
      </c>
      <c r="B176" s="82" t="s">
        <v>377</v>
      </c>
      <c r="C176" s="21" t="s">
        <v>536</v>
      </c>
      <c r="D176" s="22">
        <v>44000</v>
      </c>
      <c r="E176" s="23" t="str">
        <f t="shared" si="64"/>
        <v>GUANAJUATO</v>
      </c>
      <c r="F176" s="23" t="str">
        <f t="shared" si="65"/>
        <v>SAN FELIPE</v>
      </c>
      <c r="G176" s="79" t="s">
        <v>626</v>
      </c>
      <c r="H176" s="81" t="str">
        <f t="shared" si="51"/>
        <v>5
 CALENTADOR(ES)</v>
      </c>
      <c r="I176" s="25">
        <f t="shared" si="52"/>
        <v>25</v>
      </c>
      <c r="J176" s="32">
        <f t="shared" si="50"/>
        <v>5</v>
      </c>
      <c r="K176" s="26" t="b">
        <f>EXACT(C176,'[1]Presupuesto Egresos POA 2023'!P2170)</f>
        <v>0</v>
      </c>
      <c r="L176" s="27">
        <v>44868</v>
      </c>
      <c r="M176" s="28" t="s">
        <v>26</v>
      </c>
      <c r="N176" s="26" t="str">
        <f t="shared" si="67"/>
        <v>Capturado</v>
      </c>
      <c r="O176" s="26" t="str">
        <f t="shared" si="68"/>
        <v>Capturado</v>
      </c>
      <c r="P176" s="18"/>
      <c r="Q176" s="2" t="str">
        <f t="shared" si="58"/>
        <v>Imprimir</v>
      </c>
      <c r="R176" s="2"/>
      <c r="S176" s="2"/>
      <c r="T176" s="64"/>
      <c r="U176" s="26" t="s">
        <v>15</v>
      </c>
      <c r="V176" s="18" t="s">
        <v>15</v>
      </c>
      <c r="W176" s="18" t="str">
        <f t="shared" si="54"/>
        <v>CAP</v>
      </c>
      <c r="X176" s="18" t="str">
        <f t="shared" si="55"/>
        <v>. 165 - NC</v>
      </c>
      <c r="Y176" s="18"/>
      <c r="AA176" s="22">
        <v>0</v>
      </c>
      <c r="AB176" s="29" t="str">
        <f t="shared" si="56"/>
        <v>Cambió</v>
      </c>
      <c r="AC176" s="30" t="s">
        <v>36</v>
      </c>
      <c r="AD176" s="29" t="s">
        <v>33</v>
      </c>
      <c r="AE176" s="29" t="s">
        <v>33</v>
      </c>
      <c r="AF176" s="11" t="s">
        <v>72</v>
      </c>
      <c r="AG176" s="31"/>
      <c r="AH176" s="31"/>
    </row>
    <row r="177" spans="1:34" s="26" customFormat="1" ht="76.5" customHeight="1" x14ac:dyDescent="0.25">
      <c r="A177" s="67">
        <v>166</v>
      </c>
      <c r="B177" s="82" t="s">
        <v>377</v>
      </c>
      <c r="C177" s="21" t="s">
        <v>537</v>
      </c>
      <c r="D177" s="22">
        <v>88000</v>
      </c>
      <c r="E177" s="23" t="str">
        <f t="shared" si="64"/>
        <v>GUANAJUATO</v>
      </c>
      <c r="F177" s="23" t="str">
        <f t="shared" si="65"/>
        <v>SAN FELIPE</v>
      </c>
      <c r="G177" s="80" t="s">
        <v>658</v>
      </c>
      <c r="H177" s="81" t="str">
        <f t="shared" si="51"/>
        <v>10
 CALENTADOR(ES)</v>
      </c>
      <c r="I177" s="25">
        <f t="shared" si="52"/>
        <v>50</v>
      </c>
      <c r="J177" s="32">
        <f t="shared" si="50"/>
        <v>10</v>
      </c>
      <c r="K177" s="26" t="b">
        <f>EXACT(C177,'[1]Presupuesto Egresos POA 2023'!P2171)</f>
        <v>0</v>
      </c>
      <c r="L177" s="27">
        <v>44872</v>
      </c>
      <c r="M177" s="28" t="s">
        <v>26</v>
      </c>
      <c r="N177" s="26" t="str">
        <f t="shared" si="67"/>
        <v>Capturado</v>
      </c>
      <c r="O177" s="26" t="str">
        <f t="shared" si="68"/>
        <v>Capturado</v>
      </c>
      <c r="P177" s="18"/>
      <c r="Q177" s="2" t="str">
        <f t="shared" si="58"/>
        <v>Imprimir</v>
      </c>
      <c r="R177" s="2"/>
      <c r="S177" s="2"/>
      <c r="T177" s="64"/>
      <c r="U177" s="18" t="s">
        <v>15</v>
      </c>
      <c r="V177" s="18" t="s">
        <v>15</v>
      </c>
      <c r="W177" s="18" t="str">
        <f t="shared" si="54"/>
        <v>CAP</v>
      </c>
      <c r="X177" s="18" t="str">
        <f t="shared" si="55"/>
        <v>. 166 - NC</v>
      </c>
      <c r="Y177" s="18"/>
      <c r="AA177" s="22">
        <v>0</v>
      </c>
      <c r="AB177" s="29" t="str">
        <f t="shared" si="56"/>
        <v>Cambió</v>
      </c>
      <c r="AC177" s="30" t="s">
        <v>36</v>
      </c>
      <c r="AD177" s="29" t="s">
        <v>33</v>
      </c>
      <c r="AE177" s="29" t="s">
        <v>33</v>
      </c>
      <c r="AF177" s="11" t="s">
        <v>72</v>
      </c>
      <c r="AG177" s="31"/>
      <c r="AH177" s="31"/>
    </row>
    <row r="178" spans="1:34" s="26" customFormat="1" ht="45" x14ac:dyDescent="0.25">
      <c r="A178" s="67">
        <v>167</v>
      </c>
      <c r="B178" s="82" t="s">
        <v>377</v>
      </c>
      <c r="C178" s="21" t="s">
        <v>538</v>
      </c>
      <c r="D178" s="22">
        <v>132000</v>
      </c>
      <c r="E178" s="23" t="str">
        <f t="shared" si="64"/>
        <v>GUANAJUATO</v>
      </c>
      <c r="F178" s="23" t="str">
        <f t="shared" si="65"/>
        <v>SAN FELIPE</v>
      </c>
      <c r="G178" s="66" t="s">
        <v>373</v>
      </c>
      <c r="H178" s="81" t="str">
        <f t="shared" si="51"/>
        <v>15
 CALENTADOR(ES)</v>
      </c>
      <c r="I178" s="25">
        <f t="shared" si="52"/>
        <v>75</v>
      </c>
      <c r="J178" s="32">
        <f t="shared" si="50"/>
        <v>15</v>
      </c>
      <c r="K178" s="26" t="b">
        <f>EXACT(C178,'[1]Presupuesto Egresos POA 2023'!P2172)</f>
        <v>0</v>
      </c>
      <c r="L178" s="27">
        <v>44872</v>
      </c>
      <c r="M178" s="28" t="s">
        <v>26</v>
      </c>
      <c r="P178" s="18" t="s">
        <v>331</v>
      </c>
      <c r="Q178" s="2" t="str">
        <f t="shared" si="58"/>
        <v>Imprimir</v>
      </c>
      <c r="R178" s="2" t="s">
        <v>333</v>
      </c>
      <c r="S178" s="2"/>
      <c r="T178" s="64"/>
      <c r="U178" s="18" t="s">
        <v>15</v>
      </c>
      <c r="V178" s="18" t="s">
        <v>15</v>
      </c>
      <c r="W178" s="18" t="str">
        <f t="shared" si="54"/>
        <v>CAP</v>
      </c>
      <c r="X178" s="18" t="str">
        <f t="shared" si="55"/>
        <v>. 167 - NC</v>
      </c>
      <c r="Y178" s="18"/>
      <c r="AA178" s="22">
        <v>0</v>
      </c>
      <c r="AB178" s="29" t="str">
        <f t="shared" si="56"/>
        <v>Cambió</v>
      </c>
      <c r="AC178" s="30" t="s">
        <v>36</v>
      </c>
      <c r="AD178" s="29" t="s">
        <v>33</v>
      </c>
      <c r="AE178" s="29" t="s">
        <v>33</v>
      </c>
      <c r="AF178" s="11" t="s">
        <v>72</v>
      </c>
      <c r="AG178" s="31"/>
      <c r="AH178" s="31"/>
    </row>
    <row r="179" spans="1:34" s="26" customFormat="1" ht="64.5" customHeight="1" x14ac:dyDescent="0.25">
      <c r="A179" s="67">
        <v>168</v>
      </c>
      <c r="B179" s="82" t="s">
        <v>377</v>
      </c>
      <c r="C179" s="21" t="s">
        <v>539</v>
      </c>
      <c r="D179" s="22">
        <v>158400</v>
      </c>
      <c r="E179" s="23" t="str">
        <f t="shared" si="64"/>
        <v>GUANAJUATO</v>
      </c>
      <c r="F179" s="23" t="str">
        <f t="shared" si="65"/>
        <v>SAN FELIPE</v>
      </c>
      <c r="G179" s="80" t="s">
        <v>659</v>
      </c>
      <c r="H179" s="81" t="str">
        <f t="shared" si="51"/>
        <v>18
 CALENTADOR(ES)</v>
      </c>
      <c r="I179" s="25">
        <f t="shared" si="52"/>
        <v>90</v>
      </c>
      <c r="J179" s="32">
        <f t="shared" si="50"/>
        <v>18</v>
      </c>
      <c r="K179" s="26" t="b">
        <f>EXACT(C179,'[1]Presupuesto Egresos POA 2023'!P2173)</f>
        <v>0</v>
      </c>
      <c r="L179" s="27">
        <v>44872</v>
      </c>
      <c r="M179" s="28" t="s">
        <v>26</v>
      </c>
      <c r="N179" s="26" t="str">
        <f>IF(G179&lt;&gt;0,"Capturado","")</f>
        <v>Capturado</v>
      </c>
      <c r="O179" s="26" t="str">
        <f>IF(H179&lt;&gt;0,"Capturado","")</f>
        <v>Capturado</v>
      </c>
      <c r="P179" s="18"/>
      <c r="Q179" s="2" t="str">
        <f t="shared" si="58"/>
        <v>Imprimir</v>
      </c>
      <c r="R179" s="2"/>
      <c r="S179" s="2"/>
      <c r="T179" s="64"/>
      <c r="U179" s="26" t="s">
        <v>15</v>
      </c>
      <c r="V179" s="18" t="s">
        <v>15</v>
      </c>
      <c r="W179" s="18" t="str">
        <f t="shared" si="54"/>
        <v>CAP</v>
      </c>
      <c r="X179" s="18" t="str">
        <f t="shared" si="55"/>
        <v>. 168 - NC</v>
      </c>
      <c r="Y179" s="18"/>
      <c r="AA179" s="22">
        <v>0</v>
      </c>
      <c r="AB179" s="29" t="str">
        <f t="shared" si="56"/>
        <v>Cambió</v>
      </c>
      <c r="AC179" s="30" t="s">
        <v>36</v>
      </c>
      <c r="AD179" s="29" t="s">
        <v>33</v>
      </c>
      <c r="AE179" s="29" t="s">
        <v>33</v>
      </c>
      <c r="AF179" s="11" t="s">
        <v>72</v>
      </c>
      <c r="AG179" s="31"/>
      <c r="AH179" s="31"/>
    </row>
    <row r="180" spans="1:34" s="26" customFormat="1" ht="84" customHeight="1" x14ac:dyDescent="0.25">
      <c r="A180" s="67">
        <v>169</v>
      </c>
      <c r="B180" s="82" t="s">
        <v>377</v>
      </c>
      <c r="C180" s="21" t="s">
        <v>540</v>
      </c>
      <c r="D180" s="22">
        <v>70400</v>
      </c>
      <c r="E180" s="23" t="str">
        <f t="shared" si="64"/>
        <v>GUANAJUATO</v>
      </c>
      <c r="F180" s="23" t="str">
        <f t="shared" si="65"/>
        <v>SAN FELIPE</v>
      </c>
      <c r="G180" s="66" t="s">
        <v>646</v>
      </c>
      <c r="H180" s="81" t="str">
        <f t="shared" si="51"/>
        <v>8
 CALENTADOR(ES)</v>
      </c>
      <c r="I180" s="25">
        <f t="shared" si="52"/>
        <v>40</v>
      </c>
      <c r="J180" s="32">
        <f t="shared" si="50"/>
        <v>8</v>
      </c>
      <c r="K180" s="26" t="b">
        <f>EXACT(C180,'[1]Presupuesto Egresos POA 2023'!P2174)</f>
        <v>0</v>
      </c>
      <c r="L180" s="27">
        <v>44872</v>
      </c>
      <c r="M180" s="28" t="s">
        <v>26</v>
      </c>
      <c r="P180" s="18" t="s">
        <v>331</v>
      </c>
      <c r="Q180" s="2" t="str">
        <f t="shared" si="58"/>
        <v>Imprimir</v>
      </c>
      <c r="R180" s="2" t="s">
        <v>333</v>
      </c>
      <c r="S180" s="2"/>
      <c r="T180" s="64"/>
      <c r="U180" s="18" t="s">
        <v>15</v>
      </c>
      <c r="V180" s="18" t="s">
        <v>15</v>
      </c>
      <c r="W180" s="18" t="str">
        <f t="shared" si="54"/>
        <v>CAP</v>
      </c>
      <c r="X180" s="18" t="str">
        <f t="shared" si="55"/>
        <v>. 169 - NC</v>
      </c>
      <c r="Y180" s="18"/>
      <c r="AA180" s="22">
        <v>0</v>
      </c>
      <c r="AB180" s="29" t="str">
        <f t="shared" si="56"/>
        <v>Cambió</v>
      </c>
      <c r="AC180" s="30" t="s">
        <v>37</v>
      </c>
      <c r="AD180" s="29" t="s">
        <v>33</v>
      </c>
      <c r="AE180" s="29" t="s">
        <v>33</v>
      </c>
      <c r="AF180" s="11" t="s">
        <v>72</v>
      </c>
      <c r="AG180" s="31"/>
      <c r="AH180" s="31"/>
    </row>
    <row r="181" spans="1:34" s="26" customFormat="1" ht="121.5" customHeight="1" x14ac:dyDescent="0.25">
      <c r="A181" s="67">
        <v>170</v>
      </c>
      <c r="B181" s="82" t="s">
        <v>377</v>
      </c>
      <c r="C181" s="21" t="s">
        <v>541</v>
      </c>
      <c r="D181" s="22">
        <v>88000</v>
      </c>
      <c r="E181" s="23" t="str">
        <f t="shared" si="64"/>
        <v>GUANAJUATO</v>
      </c>
      <c r="F181" s="23" t="str">
        <f t="shared" si="65"/>
        <v>SAN FELIPE</v>
      </c>
      <c r="G181" s="66" t="s">
        <v>343</v>
      </c>
      <c r="H181" s="81" t="str">
        <f t="shared" si="51"/>
        <v>10
 CALENTADOR(ES)</v>
      </c>
      <c r="I181" s="25">
        <f t="shared" si="52"/>
        <v>50</v>
      </c>
      <c r="J181" s="32">
        <f t="shared" si="50"/>
        <v>10</v>
      </c>
      <c r="K181" s="26" t="b">
        <f>EXACT(C181,'[1]Presupuesto Egresos POA 2023'!P2175)</f>
        <v>0</v>
      </c>
      <c r="L181" s="27">
        <v>44872</v>
      </c>
      <c r="M181" s="28" t="s">
        <v>26</v>
      </c>
      <c r="N181" s="26" t="str">
        <f>IF(G181&lt;&gt;0,"Capturado","")</f>
        <v>Capturado</v>
      </c>
      <c r="O181" s="26" t="str">
        <f>IF(H181&lt;&gt;0,"Capturado","")</f>
        <v>Capturado</v>
      </c>
      <c r="P181" s="18"/>
      <c r="Q181" s="2" t="str">
        <f t="shared" si="58"/>
        <v>Imprimir</v>
      </c>
      <c r="R181" s="2"/>
      <c r="S181" s="2"/>
      <c r="T181" s="64"/>
      <c r="U181" s="18" t="s">
        <v>15</v>
      </c>
      <c r="V181" s="18" t="s">
        <v>15</v>
      </c>
      <c r="W181" s="18" t="str">
        <f t="shared" si="54"/>
        <v>CAP</v>
      </c>
      <c r="X181" s="18" t="str">
        <f t="shared" si="55"/>
        <v>. 170 - NC</v>
      </c>
      <c r="Y181" s="18"/>
      <c r="AA181" s="22">
        <v>0</v>
      </c>
      <c r="AB181" s="29" t="str">
        <f t="shared" si="56"/>
        <v>Cambió</v>
      </c>
      <c r="AC181" s="30" t="s">
        <v>39</v>
      </c>
      <c r="AD181" s="29" t="s">
        <v>33</v>
      </c>
      <c r="AE181" s="29" t="s">
        <v>33</v>
      </c>
      <c r="AF181" s="11" t="s">
        <v>72</v>
      </c>
      <c r="AG181" s="31"/>
      <c r="AH181" s="31"/>
    </row>
    <row r="182" spans="1:34" s="26" customFormat="1" ht="45" x14ac:dyDescent="0.25">
      <c r="A182" s="67">
        <v>171</v>
      </c>
      <c r="B182" s="82" t="s">
        <v>377</v>
      </c>
      <c r="C182" s="21" t="s">
        <v>542</v>
      </c>
      <c r="D182" s="22">
        <v>70400</v>
      </c>
      <c r="E182" s="23" t="str">
        <f t="shared" si="64"/>
        <v>GUANAJUATO</v>
      </c>
      <c r="F182" s="23" t="str">
        <f t="shared" si="65"/>
        <v>SAN FELIPE</v>
      </c>
      <c r="G182" s="66" t="s">
        <v>220</v>
      </c>
      <c r="H182" s="81" t="str">
        <f t="shared" si="51"/>
        <v>8
 CALENTADOR(ES)</v>
      </c>
      <c r="I182" s="25">
        <f t="shared" si="52"/>
        <v>40</v>
      </c>
      <c r="J182" s="32">
        <f t="shared" si="50"/>
        <v>8</v>
      </c>
      <c r="K182" s="26" t="b">
        <f>EXACT(C182,'[1]Presupuesto Egresos POA 2023'!P2176)</f>
        <v>0</v>
      </c>
      <c r="L182" s="27">
        <v>44872</v>
      </c>
      <c r="M182" s="28" t="s">
        <v>26</v>
      </c>
      <c r="N182" s="47"/>
      <c r="O182" s="47"/>
      <c r="P182" s="77" t="s">
        <v>331</v>
      </c>
      <c r="Q182" s="2" t="str">
        <f t="shared" si="58"/>
        <v>Imprimir</v>
      </c>
      <c r="R182" s="2" t="s">
        <v>333</v>
      </c>
      <c r="S182" s="2"/>
      <c r="T182" s="64"/>
      <c r="U182" s="18" t="s">
        <v>15</v>
      </c>
      <c r="V182" s="18" t="s">
        <v>15</v>
      </c>
      <c r="W182" s="18" t="str">
        <f t="shared" si="54"/>
        <v>CAP</v>
      </c>
      <c r="X182" s="18" t="str">
        <f t="shared" si="55"/>
        <v>. 171 - NC</v>
      </c>
      <c r="Y182" s="18"/>
      <c r="AA182" s="22">
        <v>0</v>
      </c>
      <c r="AB182" s="29" t="str">
        <f t="shared" si="56"/>
        <v>Cambió</v>
      </c>
      <c r="AC182" s="30" t="s">
        <v>36</v>
      </c>
      <c r="AD182" s="29" t="s">
        <v>33</v>
      </c>
      <c r="AE182" s="29" t="s">
        <v>33</v>
      </c>
      <c r="AF182" s="11" t="s">
        <v>72</v>
      </c>
      <c r="AG182" s="31"/>
      <c r="AH182" s="31"/>
    </row>
    <row r="183" spans="1:34" s="26" customFormat="1" ht="107.25" customHeight="1" x14ac:dyDescent="0.25">
      <c r="A183" s="67">
        <v>172</v>
      </c>
      <c r="B183" s="82" t="s">
        <v>377</v>
      </c>
      <c r="C183" s="21" t="s">
        <v>543</v>
      </c>
      <c r="D183" s="22">
        <v>52800</v>
      </c>
      <c r="E183" s="23" t="str">
        <f t="shared" si="64"/>
        <v>GUANAJUATO</v>
      </c>
      <c r="F183" s="23" t="str">
        <f t="shared" si="65"/>
        <v>SAN FELIPE</v>
      </c>
      <c r="G183" s="66" t="s">
        <v>357</v>
      </c>
      <c r="H183" s="81" t="str">
        <f t="shared" si="51"/>
        <v>6
 CALENTADOR(ES)</v>
      </c>
      <c r="I183" s="25">
        <f t="shared" si="52"/>
        <v>30</v>
      </c>
      <c r="J183" s="32">
        <f t="shared" si="50"/>
        <v>6</v>
      </c>
      <c r="K183" s="26" t="b">
        <f>EXACT(C183,'[1]Presupuesto Egresos POA 2023'!P2177)</f>
        <v>0</v>
      </c>
      <c r="L183" s="27">
        <v>44872</v>
      </c>
      <c r="M183" s="28" t="s">
        <v>26</v>
      </c>
      <c r="N183" s="26" t="str">
        <f>IF(G183&lt;&gt;0,"Capturado","")</f>
        <v>Capturado</v>
      </c>
      <c r="O183" s="26" t="str">
        <f t="shared" ref="O183:O229" si="69">IF(H183&lt;&gt;0,"Capturado","")</f>
        <v>Capturado</v>
      </c>
      <c r="P183" s="18"/>
      <c r="Q183" s="2" t="str">
        <f t="shared" si="58"/>
        <v>Imprimir</v>
      </c>
      <c r="R183" s="2"/>
      <c r="S183" s="2"/>
      <c r="T183" s="64"/>
      <c r="U183" s="18" t="s">
        <v>15</v>
      </c>
      <c r="V183" s="18" t="s">
        <v>15</v>
      </c>
      <c r="W183" s="18" t="str">
        <f t="shared" si="54"/>
        <v>CAP</v>
      </c>
      <c r="X183" s="18" t="str">
        <f t="shared" si="55"/>
        <v>. 172 - NC</v>
      </c>
      <c r="Y183" s="18"/>
      <c r="AA183" s="22">
        <v>0</v>
      </c>
      <c r="AB183" s="29" t="str">
        <f t="shared" si="56"/>
        <v>Cambió</v>
      </c>
      <c r="AC183" s="30" t="s">
        <v>39</v>
      </c>
      <c r="AD183" s="29" t="s">
        <v>33</v>
      </c>
      <c r="AE183" s="29" t="s">
        <v>33</v>
      </c>
      <c r="AF183" s="11" t="s">
        <v>72</v>
      </c>
      <c r="AG183" s="31"/>
      <c r="AH183" s="31"/>
    </row>
    <row r="184" spans="1:34" s="26" customFormat="1" ht="73.5" customHeight="1" x14ac:dyDescent="0.25">
      <c r="A184" s="67">
        <v>173</v>
      </c>
      <c r="B184" s="82" t="s">
        <v>377</v>
      </c>
      <c r="C184" s="21" t="s">
        <v>544</v>
      </c>
      <c r="D184" s="22">
        <v>44000</v>
      </c>
      <c r="E184" s="23" t="str">
        <f t="shared" si="64"/>
        <v>GUANAJUATO</v>
      </c>
      <c r="F184" s="23" t="str">
        <f t="shared" si="65"/>
        <v>SAN FELIPE</v>
      </c>
      <c r="G184" s="79" t="s">
        <v>660</v>
      </c>
      <c r="H184" s="81" t="str">
        <f t="shared" si="51"/>
        <v>5
 CALENTADOR(ES)</v>
      </c>
      <c r="I184" s="25">
        <f t="shared" si="52"/>
        <v>25</v>
      </c>
      <c r="J184" s="32">
        <f t="shared" si="50"/>
        <v>5</v>
      </c>
      <c r="K184" s="26" t="b">
        <f>EXACT(C184,'[1]Presupuesto Egresos POA 2023'!P2178)</f>
        <v>0</v>
      </c>
      <c r="L184" s="27">
        <v>44872</v>
      </c>
      <c r="M184" s="28" t="s">
        <v>26</v>
      </c>
      <c r="N184" s="26" t="str">
        <f t="shared" ref="N184:N226" si="70">IF(G184&lt;&gt;0,"Capturado","")</f>
        <v>Capturado</v>
      </c>
      <c r="O184" s="26" t="str">
        <f t="shared" si="69"/>
        <v>Capturado</v>
      </c>
      <c r="P184" s="18"/>
      <c r="Q184" s="2" t="str">
        <f t="shared" si="58"/>
        <v>Imprimir</v>
      </c>
      <c r="R184" s="2"/>
      <c r="S184" s="2"/>
      <c r="T184" s="64"/>
      <c r="U184" s="18" t="s">
        <v>15</v>
      </c>
      <c r="V184" s="18" t="s">
        <v>15</v>
      </c>
      <c r="W184" s="18" t="str">
        <f t="shared" si="54"/>
        <v>CAP</v>
      </c>
      <c r="X184" s="18" t="str">
        <f t="shared" si="55"/>
        <v>. 173 - NC</v>
      </c>
      <c r="Y184" s="18"/>
      <c r="AA184" s="22">
        <v>0</v>
      </c>
      <c r="AB184" s="29" t="str">
        <f t="shared" si="56"/>
        <v>Cambió</v>
      </c>
      <c r="AC184" s="30" t="s">
        <v>39</v>
      </c>
      <c r="AD184" s="29" t="s">
        <v>33</v>
      </c>
      <c r="AE184" s="29" t="s">
        <v>33</v>
      </c>
      <c r="AF184" s="11" t="s">
        <v>72</v>
      </c>
      <c r="AG184" s="31"/>
      <c r="AH184" s="31"/>
    </row>
    <row r="185" spans="1:34" s="26" customFormat="1" ht="70.5" customHeight="1" x14ac:dyDescent="0.25">
      <c r="A185" s="67">
        <v>174</v>
      </c>
      <c r="B185" s="82" t="s">
        <v>377</v>
      </c>
      <c r="C185" s="21" t="s">
        <v>545</v>
      </c>
      <c r="D185" s="22">
        <v>52800</v>
      </c>
      <c r="E185" s="23" t="str">
        <f t="shared" si="64"/>
        <v>GUANAJUATO</v>
      </c>
      <c r="F185" s="23" t="str">
        <f t="shared" si="65"/>
        <v>SAN FELIPE</v>
      </c>
      <c r="G185" s="66" t="s">
        <v>661</v>
      </c>
      <c r="H185" s="81" t="str">
        <f t="shared" si="51"/>
        <v>6
 CALENTADOR(ES)</v>
      </c>
      <c r="I185" s="25">
        <f t="shared" si="52"/>
        <v>30</v>
      </c>
      <c r="J185" s="32">
        <f t="shared" si="50"/>
        <v>6</v>
      </c>
      <c r="K185" s="26" t="b">
        <f>EXACT(C185,'[1]Presupuesto Egresos POA 2023'!P2179)</f>
        <v>0</v>
      </c>
      <c r="L185" s="27">
        <v>44874</v>
      </c>
      <c r="M185" s="28" t="s">
        <v>26</v>
      </c>
      <c r="N185" s="26" t="str">
        <f t="shared" si="70"/>
        <v>Capturado</v>
      </c>
      <c r="O185" s="26" t="str">
        <f t="shared" si="69"/>
        <v>Capturado</v>
      </c>
      <c r="P185" s="18"/>
      <c r="Q185" s="2" t="str">
        <f t="shared" si="58"/>
        <v>Imprimir</v>
      </c>
      <c r="R185" s="2"/>
      <c r="S185" s="2"/>
      <c r="T185" s="64"/>
      <c r="U185" s="18" t="s">
        <v>15</v>
      </c>
      <c r="V185" s="18" t="s">
        <v>15</v>
      </c>
      <c r="W185" s="18" t="str">
        <f t="shared" si="54"/>
        <v>CAP</v>
      </c>
      <c r="X185" s="18" t="str">
        <f t="shared" si="55"/>
        <v>. 174 - NC</v>
      </c>
      <c r="Y185" s="18"/>
      <c r="AA185" s="22">
        <v>0</v>
      </c>
      <c r="AB185" s="29" t="str">
        <f t="shared" si="56"/>
        <v>Cambió</v>
      </c>
      <c r="AC185" s="30" t="s">
        <v>39</v>
      </c>
      <c r="AD185" s="29" t="s">
        <v>33</v>
      </c>
      <c r="AE185" s="29" t="s">
        <v>33</v>
      </c>
      <c r="AF185" s="11" t="s">
        <v>72</v>
      </c>
      <c r="AG185" s="31"/>
      <c r="AH185" s="31"/>
    </row>
    <row r="186" spans="1:34" s="26" customFormat="1" ht="81" customHeight="1" x14ac:dyDescent="0.25">
      <c r="A186" s="67">
        <v>175</v>
      </c>
      <c r="B186" s="82" t="s">
        <v>377</v>
      </c>
      <c r="C186" s="21" t="s">
        <v>546</v>
      </c>
      <c r="D186" s="22">
        <v>96800</v>
      </c>
      <c r="E186" s="23" t="str">
        <f t="shared" si="64"/>
        <v>GUANAJUATO</v>
      </c>
      <c r="F186" s="23" t="str">
        <f t="shared" si="65"/>
        <v>SAN FELIPE</v>
      </c>
      <c r="G186" s="66" t="s">
        <v>662</v>
      </c>
      <c r="H186" s="81" t="str">
        <f t="shared" si="51"/>
        <v>11
 CALENTADOR(ES)</v>
      </c>
      <c r="I186" s="25">
        <f t="shared" si="52"/>
        <v>55</v>
      </c>
      <c r="J186" s="32">
        <f t="shared" si="50"/>
        <v>11</v>
      </c>
      <c r="K186" s="26" t="b">
        <f>EXACT(C186,'[1]Presupuesto Egresos POA 2023'!P2180)</f>
        <v>0</v>
      </c>
      <c r="L186" s="27">
        <v>44874</v>
      </c>
      <c r="M186" s="28" t="s">
        <v>26</v>
      </c>
      <c r="N186" s="26" t="str">
        <f t="shared" si="70"/>
        <v>Capturado</v>
      </c>
      <c r="O186" s="26" t="str">
        <f t="shared" si="69"/>
        <v>Capturado</v>
      </c>
      <c r="P186" s="18"/>
      <c r="Q186" s="2" t="str">
        <f t="shared" si="58"/>
        <v>Imprimir</v>
      </c>
      <c r="R186" s="2"/>
      <c r="S186" s="2"/>
      <c r="T186" s="64"/>
      <c r="U186" s="18" t="s">
        <v>15</v>
      </c>
      <c r="V186" s="18" t="s">
        <v>15</v>
      </c>
      <c r="W186" s="18" t="str">
        <f t="shared" si="54"/>
        <v>CAP</v>
      </c>
      <c r="X186" s="18" t="str">
        <f t="shared" si="55"/>
        <v>. 175 - NC</v>
      </c>
      <c r="Y186" s="18"/>
      <c r="AA186" s="22">
        <v>0</v>
      </c>
      <c r="AB186" s="29" t="str">
        <f>IF(D186&gt;0,IF(D186=AA186,"Sin Cambio","Cambió"),"")</f>
        <v>Cambió</v>
      </c>
      <c r="AC186" s="30" t="s">
        <v>39</v>
      </c>
      <c r="AD186" s="29" t="s">
        <v>33</v>
      </c>
      <c r="AE186" s="29" t="s">
        <v>33</v>
      </c>
      <c r="AF186" s="11" t="s">
        <v>72</v>
      </c>
      <c r="AG186" s="31"/>
      <c r="AH186" s="31"/>
    </row>
    <row r="187" spans="1:34" s="26" customFormat="1" ht="76.5" customHeight="1" x14ac:dyDescent="0.25">
      <c r="A187" s="67">
        <v>176</v>
      </c>
      <c r="B187" s="82" t="s">
        <v>377</v>
      </c>
      <c r="C187" s="21" t="s">
        <v>547</v>
      </c>
      <c r="D187" s="22">
        <v>70400</v>
      </c>
      <c r="E187" s="23" t="str">
        <f t="shared" si="64"/>
        <v>GUANAJUATO</v>
      </c>
      <c r="F187" s="23" t="str">
        <f t="shared" si="65"/>
        <v>SAN FELIPE</v>
      </c>
      <c r="G187" s="66" t="s">
        <v>364</v>
      </c>
      <c r="H187" s="81" t="str">
        <f t="shared" si="51"/>
        <v>8
 CALENTADOR(ES)</v>
      </c>
      <c r="I187" s="25">
        <f t="shared" si="52"/>
        <v>40</v>
      </c>
      <c r="J187" s="32">
        <f t="shared" si="50"/>
        <v>8</v>
      </c>
      <c r="K187" s="26" t="b">
        <f>EXACT(C187,'[1]Presupuesto Egresos POA 2023'!P2181)</f>
        <v>0</v>
      </c>
      <c r="L187" s="27">
        <v>44874</v>
      </c>
      <c r="M187" s="28" t="s">
        <v>26</v>
      </c>
      <c r="N187" s="26" t="str">
        <f t="shared" si="70"/>
        <v>Capturado</v>
      </c>
      <c r="O187" s="26" t="str">
        <f t="shared" si="69"/>
        <v>Capturado</v>
      </c>
      <c r="P187" s="18"/>
      <c r="Q187" s="2" t="str">
        <f t="shared" si="58"/>
        <v>Imprimir</v>
      </c>
      <c r="R187" s="2"/>
      <c r="S187" s="2"/>
      <c r="T187" s="64"/>
      <c r="U187" s="18" t="s">
        <v>15</v>
      </c>
      <c r="V187" s="18" t="s">
        <v>15</v>
      </c>
      <c r="W187" s="18" t="str">
        <f t="shared" si="54"/>
        <v>CAP</v>
      </c>
      <c r="X187" s="18" t="str">
        <f t="shared" si="55"/>
        <v>. 176 - NC</v>
      </c>
      <c r="Y187" s="18"/>
      <c r="AA187" s="22">
        <v>0</v>
      </c>
      <c r="AB187" s="29" t="str">
        <f>IF(D187&gt;0,IF(D187=AA187,"Sin Cambio","Cambió"),"")</f>
        <v>Cambió</v>
      </c>
      <c r="AC187" s="30" t="s">
        <v>39</v>
      </c>
      <c r="AD187" s="29" t="s">
        <v>33</v>
      </c>
      <c r="AE187" s="29" t="s">
        <v>33</v>
      </c>
      <c r="AF187" s="11" t="s">
        <v>72</v>
      </c>
      <c r="AG187" s="31"/>
      <c r="AH187" s="31"/>
    </row>
    <row r="188" spans="1:34" s="26" customFormat="1" ht="45" x14ac:dyDescent="0.25">
      <c r="A188" s="67">
        <v>177</v>
      </c>
      <c r="B188" s="82" t="s">
        <v>377</v>
      </c>
      <c r="C188" s="21" t="s">
        <v>548</v>
      </c>
      <c r="D188" s="22">
        <v>44000</v>
      </c>
      <c r="E188" s="23" t="str">
        <f t="shared" si="64"/>
        <v>GUANAJUATO</v>
      </c>
      <c r="F188" s="23" t="str">
        <f t="shared" si="65"/>
        <v>SAN FELIPE</v>
      </c>
      <c r="G188" s="66" t="s">
        <v>663</v>
      </c>
      <c r="H188" s="81" t="str">
        <f t="shared" si="51"/>
        <v>5
 CALENTADOR(ES)</v>
      </c>
      <c r="I188" s="25">
        <f t="shared" si="52"/>
        <v>25</v>
      </c>
      <c r="J188" s="32">
        <f t="shared" si="50"/>
        <v>5</v>
      </c>
      <c r="K188" s="26" t="b">
        <f>EXACT(C188,'[1]Presupuesto Egresos POA 2023'!P2182)</f>
        <v>0</v>
      </c>
      <c r="L188" s="27">
        <v>44875</v>
      </c>
      <c r="M188" s="28" t="s">
        <v>26</v>
      </c>
      <c r="N188" s="26" t="str">
        <f t="shared" si="70"/>
        <v>Capturado</v>
      </c>
      <c r="O188" s="26" t="str">
        <f t="shared" si="69"/>
        <v>Capturado</v>
      </c>
      <c r="P188" s="18"/>
      <c r="Q188" s="2" t="str">
        <f t="shared" si="58"/>
        <v>Imprimir</v>
      </c>
      <c r="R188" s="2"/>
      <c r="S188" s="2"/>
      <c r="T188" s="64"/>
      <c r="U188" s="18" t="s">
        <v>15</v>
      </c>
      <c r="V188" s="18" t="s">
        <v>15</v>
      </c>
      <c r="W188" s="18" t="str">
        <f t="shared" si="54"/>
        <v>CAP</v>
      </c>
      <c r="X188" s="18" t="str">
        <f t="shared" si="55"/>
        <v>. 177 - NC</v>
      </c>
      <c r="Y188" s="18"/>
      <c r="AA188" s="22">
        <v>0</v>
      </c>
      <c r="AB188" s="29" t="str">
        <f t="shared" si="56"/>
        <v>Cambió</v>
      </c>
      <c r="AC188" s="30" t="s">
        <v>39</v>
      </c>
      <c r="AD188" s="29" t="s">
        <v>33</v>
      </c>
      <c r="AE188" s="29" t="s">
        <v>33</v>
      </c>
      <c r="AF188" s="11" t="s">
        <v>72</v>
      </c>
      <c r="AG188" s="31"/>
      <c r="AH188" s="31"/>
    </row>
    <row r="189" spans="1:34" s="26" customFormat="1" ht="58.5" customHeight="1" x14ac:dyDescent="0.25">
      <c r="A189" s="67">
        <v>178</v>
      </c>
      <c r="B189" s="82" t="s">
        <v>377</v>
      </c>
      <c r="C189" s="21" t="s">
        <v>549</v>
      </c>
      <c r="D189" s="22">
        <v>26400</v>
      </c>
      <c r="E189" s="23" t="str">
        <f t="shared" si="64"/>
        <v>GUANAJUATO</v>
      </c>
      <c r="F189" s="23" t="str">
        <f t="shared" si="65"/>
        <v>SAN FELIPE</v>
      </c>
      <c r="G189" s="66" t="s">
        <v>664</v>
      </c>
      <c r="H189" s="81" t="str">
        <f t="shared" si="51"/>
        <v>3
 CALENTADOR(ES)</v>
      </c>
      <c r="I189" s="25">
        <f t="shared" si="52"/>
        <v>15</v>
      </c>
      <c r="J189" s="32">
        <f t="shared" si="50"/>
        <v>3</v>
      </c>
      <c r="K189" s="26" t="b">
        <f>EXACT(C189,'[1]Presupuesto Egresos POA 2023'!P2183)</f>
        <v>0</v>
      </c>
      <c r="L189" s="27">
        <v>44875</v>
      </c>
      <c r="M189" s="28" t="s">
        <v>26</v>
      </c>
      <c r="N189" s="26" t="str">
        <f t="shared" si="70"/>
        <v>Capturado</v>
      </c>
      <c r="O189" s="26" t="str">
        <f t="shared" si="69"/>
        <v>Capturado</v>
      </c>
      <c r="P189" s="18"/>
      <c r="Q189" s="2" t="str">
        <f t="shared" si="58"/>
        <v>Imprimir</v>
      </c>
      <c r="R189" s="2"/>
      <c r="S189" s="2"/>
      <c r="T189" s="64"/>
      <c r="U189" s="18" t="s">
        <v>15</v>
      </c>
      <c r="V189" s="18" t="s">
        <v>15</v>
      </c>
      <c r="W189" s="18" t="str">
        <f t="shared" si="54"/>
        <v>CAP</v>
      </c>
      <c r="X189" s="18" t="str">
        <f t="shared" si="55"/>
        <v>. 178 - NC</v>
      </c>
      <c r="Y189" s="18"/>
      <c r="AA189" s="22">
        <v>0</v>
      </c>
      <c r="AB189" s="29" t="str">
        <f t="shared" si="56"/>
        <v>Cambió</v>
      </c>
      <c r="AC189" s="30" t="s">
        <v>39</v>
      </c>
      <c r="AD189" s="29" t="s">
        <v>33</v>
      </c>
      <c r="AE189" s="29" t="s">
        <v>33</v>
      </c>
      <c r="AF189" s="11" t="s">
        <v>72</v>
      </c>
      <c r="AG189" s="31"/>
      <c r="AH189" s="31"/>
    </row>
    <row r="190" spans="1:34" s="26" customFormat="1" ht="45" x14ac:dyDescent="0.25">
      <c r="A190" s="67">
        <v>179</v>
      </c>
      <c r="B190" s="82" t="s">
        <v>377</v>
      </c>
      <c r="C190" s="21" t="s">
        <v>550</v>
      </c>
      <c r="D190" s="22">
        <v>70400</v>
      </c>
      <c r="E190" s="23" t="str">
        <f t="shared" si="64"/>
        <v>GUANAJUATO</v>
      </c>
      <c r="F190" s="23" t="str">
        <f t="shared" si="65"/>
        <v>SAN FELIPE</v>
      </c>
      <c r="G190" s="66" t="s">
        <v>649</v>
      </c>
      <c r="H190" s="81" t="str">
        <f t="shared" si="51"/>
        <v>8
 CALENTADOR(ES)</v>
      </c>
      <c r="I190" s="25">
        <f t="shared" si="52"/>
        <v>40</v>
      </c>
      <c r="J190" s="32">
        <f t="shared" si="50"/>
        <v>8</v>
      </c>
      <c r="K190" s="26" t="b">
        <f>EXACT(C190,'[1]Presupuesto Egresos POA 2023'!P2184)</f>
        <v>0</v>
      </c>
      <c r="L190" s="27">
        <v>44875</v>
      </c>
      <c r="M190" s="28" t="s">
        <v>26</v>
      </c>
      <c r="N190" s="26" t="str">
        <f t="shared" si="70"/>
        <v>Capturado</v>
      </c>
      <c r="O190" s="26" t="str">
        <f t="shared" si="69"/>
        <v>Capturado</v>
      </c>
      <c r="P190" s="18"/>
      <c r="Q190" s="2" t="str">
        <f t="shared" si="58"/>
        <v>Imprimir</v>
      </c>
      <c r="R190" s="2"/>
      <c r="S190" s="2"/>
      <c r="T190" s="64"/>
      <c r="U190" s="18" t="s">
        <v>15</v>
      </c>
      <c r="V190" s="18" t="s">
        <v>15</v>
      </c>
      <c r="W190" s="18" t="str">
        <f t="shared" si="54"/>
        <v>CAP</v>
      </c>
      <c r="X190" s="18" t="str">
        <f t="shared" si="55"/>
        <v>. 179 - NC</v>
      </c>
      <c r="Y190" s="18"/>
      <c r="AA190" s="22">
        <v>0</v>
      </c>
      <c r="AB190" s="29" t="str">
        <f t="shared" si="56"/>
        <v>Cambió</v>
      </c>
      <c r="AC190" s="30" t="s">
        <v>37</v>
      </c>
      <c r="AD190" s="29" t="s">
        <v>33</v>
      </c>
      <c r="AE190" s="29" t="s">
        <v>33</v>
      </c>
      <c r="AF190" s="11" t="s">
        <v>72</v>
      </c>
      <c r="AG190" s="31"/>
      <c r="AH190" s="31"/>
    </row>
    <row r="191" spans="1:34" s="26" customFormat="1" ht="60" customHeight="1" x14ac:dyDescent="0.25">
      <c r="A191" s="67">
        <v>180</v>
      </c>
      <c r="B191" s="82" t="s">
        <v>377</v>
      </c>
      <c r="C191" s="21" t="s">
        <v>551</v>
      </c>
      <c r="D191" s="22">
        <v>8800</v>
      </c>
      <c r="E191" s="23" t="str">
        <f t="shared" si="64"/>
        <v>GUANAJUATO</v>
      </c>
      <c r="F191" s="23" t="str">
        <f t="shared" si="65"/>
        <v>SAN FELIPE</v>
      </c>
      <c r="G191" s="79" t="s">
        <v>45</v>
      </c>
      <c r="H191" s="81" t="str">
        <f t="shared" si="51"/>
        <v>1
 CALENTADOR(ES)</v>
      </c>
      <c r="I191" s="25">
        <f t="shared" si="52"/>
        <v>5</v>
      </c>
      <c r="J191" s="32">
        <f t="shared" si="50"/>
        <v>1</v>
      </c>
      <c r="K191" s="26" t="b">
        <f>EXACT(C191,'[1]Presupuesto Egresos POA 2023'!P2185)</f>
        <v>0</v>
      </c>
      <c r="L191" s="27">
        <v>44879</v>
      </c>
      <c r="M191" s="28" t="s">
        <v>26</v>
      </c>
      <c r="N191" s="26" t="str">
        <f t="shared" si="70"/>
        <v>Capturado</v>
      </c>
      <c r="O191" s="26" t="str">
        <f t="shared" si="69"/>
        <v>Capturado</v>
      </c>
      <c r="P191" s="18"/>
      <c r="Q191" s="2" t="str">
        <f t="shared" si="58"/>
        <v>Imprimir</v>
      </c>
      <c r="R191" s="2"/>
      <c r="S191" s="2"/>
      <c r="T191" s="64"/>
      <c r="U191" s="18" t="s">
        <v>15</v>
      </c>
      <c r="V191" s="18" t="s">
        <v>15</v>
      </c>
      <c r="W191" s="18" t="str">
        <f t="shared" si="54"/>
        <v>CAP</v>
      </c>
      <c r="X191" s="18" t="str">
        <f t="shared" si="55"/>
        <v>. 180 - NC</v>
      </c>
      <c r="Y191" s="18"/>
      <c r="AA191" s="22">
        <v>0</v>
      </c>
      <c r="AB191" s="29" t="str">
        <f t="shared" ref="AB191:AB199" si="71">IF(D191&gt;0,IF(D191=AA191,"Sin Cambio","Cambió"),"")</f>
        <v>Cambió</v>
      </c>
      <c r="AC191" s="30" t="s">
        <v>37</v>
      </c>
      <c r="AD191" s="29" t="s">
        <v>33</v>
      </c>
      <c r="AE191" s="29" t="s">
        <v>33</v>
      </c>
      <c r="AF191" s="11" t="s">
        <v>72</v>
      </c>
      <c r="AG191" s="31"/>
      <c r="AH191" s="31"/>
    </row>
    <row r="192" spans="1:34" s="26" customFormat="1" ht="60" x14ac:dyDescent="0.25">
      <c r="A192" s="67">
        <v>181</v>
      </c>
      <c r="B192" s="82" t="s">
        <v>377</v>
      </c>
      <c r="C192" s="21" t="s">
        <v>552</v>
      </c>
      <c r="D192" s="22">
        <v>1800000</v>
      </c>
      <c r="E192" s="23" t="str">
        <f t="shared" si="64"/>
        <v>GUANAJUATO</v>
      </c>
      <c r="F192" s="23" t="str">
        <f t="shared" si="65"/>
        <v>SAN FELIPE</v>
      </c>
      <c r="G192" s="79" t="s">
        <v>371</v>
      </c>
      <c r="H192" s="81" t="str">
        <f t="shared" ref="H192" si="72">J192&amp;"
 CUARTO DORMITORIO (S)"</f>
        <v>720
 CUARTO DORMITORIO (S)</v>
      </c>
      <c r="I192" s="25">
        <f>K192*5</f>
        <v>720</v>
      </c>
      <c r="J192" s="32">
        <f>ROUND(D192/2500,0)</f>
        <v>720</v>
      </c>
      <c r="K192" s="26">
        <v>144</v>
      </c>
      <c r="L192" s="27">
        <v>44879</v>
      </c>
      <c r="M192" s="28" t="s">
        <v>26</v>
      </c>
      <c r="N192" s="26" t="str">
        <f t="shared" si="70"/>
        <v>Capturado</v>
      </c>
      <c r="O192" s="26" t="str">
        <f t="shared" si="69"/>
        <v>Capturado</v>
      </c>
      <c r="P192" s="18"/>
      <c r="Q192" s="2" t="str">
        <f t="shared" si="58"/>
        <v>Imprimir</v>
      </c>
      <c r="R192" s="2"/>
      <c r="S192" s="2"/>
      <c r="T192" s="64"/>
      <c r="U192" s="18" t="s">
        <v>15</v>
      </c>
      <c r="V192" s="18" t="s">
        <v>15</v>
      </c>
      <c r="W192" s="18" t="str">
        <f t="shared" si="54"/>
        <v>CAP</v>
      </c>
      <c r="X192" s="18" t="str">
        <f t="shared" si="55"/>
        <v>. 181 - NC</v>
      </c>
      <c r="Y192" s="18"/>
      <c r="AA192" s="22">
        <v>0</v>
      </c>
      <c r="AB192" s="29" t="str">
        <f t="shared" si="71"/>
        <v>Cambió</v>
      </c>
      <c r="AC192" s="30" t="s">
        <v>39</v>
      </c>
      <c r="AD192" s="29" t="s">
        <v>33</v>
      </c>
      <c r="AE192" s="29" t="s">
        <v>33</v>
      </c>
      <c r="AF192" s="11" t="s">
        <v>72</v>
      </c>
      <c r="AG192" s="31"/>
      <c r="AH192" s="31"/>
    </row>
    <row r="193" spans="1:34" s="26" customFormat="1" ht="60" x14ac:dyDescent="0.25">
      <c r="A193" s="67">
        <v>182</v>
      </c>
      <c r="B193" s="82" t="s">
        <v>377</v>
      </c>
      <c r="C193" s="21" t="s">
        <v>553</v>
      </c>
      <c r="D193" s="22">
        <v>700000</v>
      </c>
      <c r="E193" s="23" t="str">
        <f t="shared" si="64"/>
        <v>GUANAJUATO</v>
      </c>
      <c r="F193" s="23" t="str">
        <f t="shared" si="65"/>
        <v>SAN FELIPE</v>
      </c>
      <c r="G193" s="79" t="s">
        <v>42</v>
      </c>
      <c r="H193" s="81" t="str">
        <f t="shared" ref="H193" si="73">J193&amp;"
 CUARTO DORMITORIO (S)"</f>
        <v>280
 CUARTO DORMITORIO (S)</v>
      </c>
      <c r="I193" s="25">
        <f>K193*5</f>
        <v>920</v>
      </c>
      <c r="J193" s="32">
        <f>ROUND(D193/2500,0)</f>
        <v>280</v>
      </c>
      <c r="K193" s="26">
        <v>184</v>
      </c>
      <c r="L193" s="27">
        <v>44879</v>
      </c>
      <c r="M193" s="28" t="s">
        <v>26</v>
      </c>
      <c r="N193" s="26" t="str">
        <f t="shared" si="70"/>
        <v>Capturado</v>
      </c>
      <c r="O193" s="26" t="str">
        <f t="shared" si="69"/>
        <v>Capturado</v>
      </c>
      <c r="P193" s="18"/>
      <c r="Q193" s="2" t="str">
        <f t="shared" si="58"/>
        <v>Imprimir</v>
      </c>
      <c r="R193" s="2"/>
      <c r="S193" s="2"/>
      <c r="T193" s="64"/>
      <c r="U193" s="18" t="s">
        <v>15</v>
      </c>
      <c r="V193" s="18" t="s">
        <v>15</v>
      </c>
      <c r="W193" s="18" t="str">
        <f t="shared" si="54"/>
        <v>CAP</v>
      </c>
      <c r="X193" s="18" t="str">
        <f t="shared" si="55"/>
        <v>. 182 - NC</v>
      </c>
      <c r="Y193" s="18"/>
      <c r="AA193" s="22">
        <v>0</v>
      </c>
      <c r="AB193" s="29" t="str">
        <f t="shared" si="71"/>
        <v>Cambió</v>
      </c>
      <c r="AC193" s="30" t="s">
        <v>36</v>
      </c>
      <c r="AD193" s="29" t="s">
        <v>33</v>
      </c>
      <c r="AE193" s="29" t="s">
        <v>33</v>
      </c>
      <c r="AF193" s="11" t="s">
        <v>72</v>
      </c>
      <c r="AG193" s="31"/>
      <c r="AH193" s="31"/>
    </row>
    <row r="194" spans="1:34" s="26" customFormat="1" ht="66" customHeight="1" x14ac:dyDescent="0.25">
      <c r="A194" s="67">
        <v>183</v>
      </c>
      <c r="B194" s="82" t="s">
        <v>377</v>
      </c>
      <c r="C194" s="21" t="s">
        <v>554</v>
      </c>
      <c r="D194" s="22">
        <v>1934226.93</v>
      </c>
      <c r="E194" s="23" t="str">
        <f t="shared" si="64"/>
        <v>GUANAJUATO</v>
      </c>
      <c r="F194" s="23" t="str">
        <f t="shared" si="65"/>
        <v>SAN FELIPE</v>
      </c>
      <c r="G194" s="66" t="s">
        <v>12</v>
      </c>
      <c r="H194" s="85" t="str">
        <f>J194&amp;"
METROS CUADRADOS"</f>
        <v>1500
METROS CUADRADOS</v>
      </c>
      <c r="I194" s="25">
        <v>1120</v>
      </c>
      <c r="J194" s="26">
        <f>50*30</f>
        <v>1500</v>
      </c>
      <c r="K194" s="32">
        <f>D194/J194</f>
        <v>1289.4846199999999</v>
      </c>
      <c r="L194" s="27">
        <v>44879</v>
      </c>
      <c r="M194" s="28" t="s">
        <v>26</v>
      </c>
      <c r="N194" s="26" t="str">
        <f t="shared" si="70"/>
        <v>Capturado</v>
      </c>
      <c r="O194" s="26" t="str">
        <f t="shared" si="69"/>
        <v>Capturado</v>
      </c>
      <c r="P194" s="18"/>
      <c r="Q194" s="2" t="str">
        <f t="shared" si="58"/>
        <v>Imprimir</v>
      </c>
      <c r="R194" s="2"/>
      <c r="S194" s="2"/>
      <c r="T194" s="64"/>
      <c r="U194" s="18" t="s">
        <v>15</v>
      </c>
      <c r="V194" s="18" t="s">
        <v>15</v>
      </c>
      <c r="W194" s="18" t="str">
        <f t="shared" si="54"/>
        <v>CAP</v>
      </c>
      <c r="X194" s="18" t="str">
        <f t="shared" si="55"/>
        <v>. 183 - NC</v>
      </c>
      <c r="Y194" s="18"/>
      <c r="AA194" s="22">
        <v>0</v>
      </c>
      <c r="AB194" s="29" t="str">
        <f t="shared" si="71"/>
        <v>Cambió</v>
      </c>
      <c r="AC194" s="30" t="s">
        <v>37</v>
      </c>
      <c r="AD194" s="29" t="s">
        <v>33</v>
      </c>
      <c r="AE194" s="29" t="s">
        <v>33</v>
      </c>
      <c r="AF194" s="11" t="s">
        <v>72</v>
      </c>
      <c r="AG194" s="31"/>
      <c r="AH194" s="31"/>
    </row>
    <row r="195" spans="1:34" s="26" customFormat="1" ht="60" x14ac:dyDescent="0.25">
      <c r="A195" s="67">
        <v>184</v>
      </c>
      <c r="B195" s="82" t="s">
        <v>377</v>
      </c>
      <c r="C195" s="21" t="s">
        <v>555</v>
      </c>
      <c r="D195" s="22">
        <v>1800000</v>
      </c>
      <c r="E195" s="23" t="str">
        <f t="shared" si="64"/>
        <v>GUANAJUATO</v>
      </c>
      <c r="F195" s="23" t="str">
        <f t="shared" si="65"/>
        <v>SAN FELIPE</v>
      </c>
      <c r="G195" s="66" t="s">
        <v>361</v>
      </c>
      <c r="H195" s="81" t="str">
        <f t="shared" ref="H195:H197" si="74">J195&amp;"
 CUARTO DORMITORIO (S)"</f>
        <v>720
 CUARTO DORMITORIO (S)</v>
      </c>
      <c r="I195" s="25">
        <f t="shared" ref="I195:I197" si="75">K195*5</f>
        <v>1665</v>
      </c>
      <c r="J195" s="32">
        <f>ROUND(D195/2500,0)</f>
        <v>720</v>
      </c>
      <c r="K195" s="26">
        <v>333</v>
      </c>
      <c r="L195" s="27">
        <v>44879</v>
      </c>
      <c r="M195" s="28" t="s">
        <v>26</v>
      </c>
      <c r="N195" s="26" t="str">
        <f t="shared" si="70"/>
        <v>Capturado</v>
      </c>
      <c r="O195" s="26" t="str">
        <f t="shared" si="69"/>
        <v>Capturado</v>
      </c>
      <c r="P195" s="77"/>
      <c r="Q195" s="2" t="str">
        <f t="shared" si="58"/>
        <v>Imprimir</v>
      </c>
      <c r="R195" s="2"/>
      <c r="S195" s="2"/>
      <c r="T195" s="64"/>
      <c r="U195" s="18" t="s">
        <v>15</v>
      </c>
      <c r="V195" s="18" t="s">
        <v>15</v>
      </c>
      <c r="W195" s="18" t="str">
        <f t="shared" si="54"/>
        <v>CAP</v>
      </c>
      <c r="X195" s="18" t="str">
        <f t="shared" si="55"/>
        <v>. 184 - NC</v>
      </c>
      <c r="Y195" s="18"/>
      <c r="AA195" s="22">
        <v>0</v>
      </c>
      <c r="AB195" s="29" t="str">
        <f t="shared" si="71"/>
        <v>Cambió</v>
      </c>
      <c r="AC195" s="30" t="s">
        <v>37</v>
      </c>
      <c r="AD195" s="29" t="s">
        <v>33</v>
      </c>
      <c r="AE195" s="29" t="s">
        <v>33</v>
      </c>
      <c r="AF195" s="11" t="s">
        <v>72</v>
      </c>
      <c r="AG195" s="31"/>
      <c r="AH195" s="31"/>
    </row>
    <row r="196" spans="1:34" s="26" customFormat="1" ht="62.25" customHeight="1" x14ac:dyDescent="0.25">
      <c r="A196" s="67">
        <v>185</v>
      </c>
      <c r="B196" s="82" t="s">
        <v>377</v>
      </c>
      <c r="C196" s="21" t="s">
        <v>556</v>
      </c>
      <c r="D196" s="22">
        <v>1800000</v>
      </c>
      <c r="E196" s="23" t="str">
        <f t="shared" si="64"/>
        <v>GUANAJUATO</v>
      </c>
      <c r="F196" s="23" t="str">
        <f t="shared" si="65"/>
        <v>SAN FELIPE</v>
      </c>
      <c r="G196" s="66" t="s">
        <v>12</v>
      </c>
      <c r="H196" s="81" t="str">
        <f t="shared" si="74"/>
        <v>720
 CUARTO DORMITORIO (S)</v>
      </c>
      <c r="I196" s="25">
        <f t="shared" si="75"/>
        <v>1945</v>
      </c>
      <c r="J196" s="32">
        <f>ROUND(D196/2500,0)</f>
        <v>720</v>
      </c>
      <c r="K196" s="26">
        <v>389</v>
      </c>
      <c r="L196" s="27">
        <v>44879</v>
      </c>
      <c r="M196" s="28" t="s">
        <v>26</v>
      </c>
      <c r="N196" s="26" t="str">
        <f t="shared" si="70"/>
        <v>Capturado</v>
      </c>
      <c r="O196" s="26" t="str">
        <f t="shared" si="69"/>
        <v>Capturado</v>
      </c>
      <c r="P196" s="77"/>
      <c r="Q196" s="2" t="str">
        <f t="shared" si="58"/>
        <v>Imprimir</v>
      </c>
      <c r="R196" s="2"/>
      <c r="S196" s="2"/>
      <c r="T196" s="64"/>
      <c r="U196" s="18" t="s">
        <v>15</v>
      </c>
      <c r="V196" s="18" t="s">
        <v>15</v>
      </c>
      <c r="W196" s="18" t="str">
        <f t="shared" si="54"/>
        <v>CAP</v>
      </c>
      <c r="X196" s="18" t="str">
        <f t="shared" si="55"/>
        <v>. 185 - NC</v>
      </c>
      <c r="Y196" s="18"/>
      <c r="AA196" s="22">
        <v>0</v>
      </c>
      <c r="AB196" s="29" t="str">
        <f t="shared" si="71"/>
        <v>Cambió</v>
      </c>
      <c r="AC196" s="30" t="s">
        <v>37</v>
      </c>
      <c r="AD196" s="29" t="s">
        <v>33</v>
      </c>
      <c r="AE196" s="29" t="s">
        <v>33</v>
      </c>
      <c r="AF196" s="11" t="s">
        <v>72</v>
      </c>
      <c r="AG196" s="31"/>
      <c r="AH196" s="31"/>
    </row>
    <row r="197" spans="1:34" s="26" customFormat="1" ht="60" x14ac:dyDescent="0.25">
      <c r="A197" s="67">
        <v>186</v>
      </c>
      <c r="B197" s="82" t="s">
        <v>377</v>
      </c>
      <c r="C197" s="21" t="s">
        <v>557</v>
      </c>
      <c r="D197" s="22">
        <v>1941576.88</v>
      </c>
      <c r="E197" s="23" t="str">
        <f t="shared" si="64"/>
        <v>GUANAJUATO</v>
      </c>
      <c r="F197" s="23" t="str">
        <f t="shared" si="65"/>
        <v>SAN FELIPE</v>
      </c>
      <c r="G197" s="66" t="s">
        <v>12</v>
      </c>
      <c r="H197" s="81" t="str">
        <f t="shared" si="74"/>
        <v>777
 CUARTO DORMITORIO (S)</v>
      </c>
      <c r="I197" s="25">
        <f t="shared" si="75"/>
        <v>1015</v>
      </c>
      <c r="J197" s="32">
        <f>ROUND(D197/2500,0)</f>
        <v>777</v>
      </c>
      <c r="K197" s="26">
        <v>203</v>
      </c>
      <c r="L197" s="27">
        <v>44880</v>
      </c>
      <c r="M197" s="28" t="s">
        <v>26</v>
      </c>
      <c r="N197" s="26" t="str">
        <f t="shared" si="70"/>
        <v>Capturado</v>
      </c>
      <c r="O197" s="26" t="str">
        <f t="shared" si="69"/>
        <v>Capturado</v>
      </c>
      <c r="P197" s="77"/>
      <c r="Q197" s="2" t="str">
        <f t="shared" si="58"/>
        <v>Imprimir</v>
      </c>
      <c r="R197" s="2"/>
      <c r="S197" s="2"/>
      <c r="T197" s="64"/>
      <c r="U197" s="18" t="s">
        <v>15</v>
      </c>
      <c r="V197" s="18" t="s">
        <v>15</v>
      </c>
      <c r="W197" s="18" t="str">
        <f t="shared" si="54"/>
        <v>CAP</v>
      </c>
      <c r="X197" s="18" t="str">
        <f t="shared" si="55"/>
        <v>. 186 - NC</v>
      </c>
      <c r="Y197" s="18"/>
      <c r="AA197" s="22">
        <v>0</v>
      </c>
      <c r="AB197" s="29" t="str">
        <f t="shared" si="71"/>
        <v>Cambió</v>
      </c>
      <c r="AC197" s="30" t="s">
        <v>37</v>
      </c>
      <c r="AD197" s="29" t="s">
        <v>33</v>
      </c>
      <c r="AE197" s="29" t="s">
        <v>33</v>
      </c>
      <c r="AF197" s="11" t="s">
        <v>72</v>
      </c>
      <c r="AG197" s="31"/>
      <c r="AH197" s="31"/>
    </row>
    <row r="198" spans="1:34" s="26" customFormat="1" ht="60" x14ac:dyDescent="0.25">
      <c r="A198" s="67">
        <v>187</v>
      </c>
      <c r="B198" s="82" t="s">
        <v>377</v>
      </c>
      <c r="C198" s="21" t="s">
        <v>558</v>
      </c>
      <c r="D198" s="22">
        <v>300000</v>
      </c>
      <c r="E198" s="23" t="str">
        <f t="shared" si="64"/>
        <v>GUANAJUATO</v>
      </c>
      <c r="F198" s="23" t="str">
        <f t="shared" si="65"/>
        <v>SAN FELIPE</v>
      </c>
      <c r="G198" s="66" t="s">
        <v>628</v>
      </c>
      <c r="H198" s="85" t="str">
        <f>J198&amp;"
METROS LINEALES"</f>
        <v>40
METROS LINEALES</v>
      </c>
      <c r="I198" s="25">
        <f>142*5</f>
        <v>710</v>
      </c>
      <c r="J198" s="26">
        <v>40</v>
      </c>
      <c r="K198" s="32">
        <f>D198/J198</f>
        <v>7500</v>
      </c>
      <c r="L198" s="27">
        <v>44880</v>
      </c>
      <c r="M198" s="28" t="s">
        <v>26</v>
      </c>
      <c r="N198" s="26" t="str">
        <f t="shared" si="70"/>
        <v>Capturado</v>
      </c>
      <c r="O198" s="26" t="str">
        <f t="shared" si="69"/>
        <v>Capturado</v>
      </c>
      <c r="P198" s="77"/>
      <c r="Q198" s="2" t="str">
        <f t="shared" si="58"/>
        <v>Imprimir</v>
      </c>
      <c r="R198" s="2"/>
      <c r="S198" s="2"/>
      <c r="T198" s="64"/>
      <c r="U198" s="18" t="s">
        <v>15</v>
      </c>
      <c r="V198" s="18" t="s">
        <v>15</v>
      </c>
      <c r="W198" s="18" t="str">
        <f t="shared" si="54"/>
        <v>CAP</v>
      </c>
      <c r="X198" s="18" t="str">
        <f t="shared" si="55"/>
        <v>. 187 - NC</v>
      </c>
      <c r="Y198" s="18"/>
      <c r="AA198" s="22">
        <v>0</v>
      </c>
      <c r="AB198" s="29" t="str">
        <f t="shared" si="71"/>
        <v>Cambió</v>
      </c>
      <c r="AC198" s="30" t="s">
        <v>37</v>
      </c>
      <c r="AD198" s="29" t="s">
        <v>33</v>
      </c>
      <c r="AE198" s="29" t="s">
        <v>33</v>
      </c>
      <c r="AF198" s="11" t="s">
        <v>72</v>
      </c>
      <c r="AG198" s="31"/>
      <c r="AH198" s="31"/>
    </row>
    <row r="199" spans="1:34" s="26" customFormat="1" ht="60" x14ac:dyDescent="0.25">
      <c r="A199" s="67">
        <v>188</v>
      </c>
      <c r="B199" s="82" t="s">
        <v>377</v>
      </c>
      <c r="C199" s="21" t="s">
        <v>559</v>
      </c>
      <c r="D199" s="22">
        <v>300000</v>
      </c>
      <c r="E199" s="23" t="str">
        <f t="shared" si="64"/>
        <v>GUANAJUATO</v>
      </c>
      <c r="F199" s="23" t="str">
        <f t="shared" si="65"/>
        <v>SAN FELIPE</v>
      </c>
      <c r="G199" s="66" t="s">
        <v>391</v>
      </c>
      <c r="H199" s="85" t="str">
        <f>J199&amp;"
AULA(S)"</f>
        <v>1
AULA(S)</v>
      </c>
      <c r="I199" s="25">
        <f>88*5</f>
        <v>440</v>
      </c>
      <c r="J199" s="26">
        <v>1</v>
      </c>
      <c r="K199" s="26" t="b">
        <f>EXACT(C199,'[1]Presupuesto Egresos POA 2023'!P2197)</f>
        <v>0</v>
      </c>
      <c r="L199" s="27">
        <v>44880</v>
      </c>
      <c r="M199" s="28" t="s">
        <v>26</v>
      </c>
      <c r="N199" s="26" t="str">
        <f t="shared" si="70"/>
        <v>Capturado</v>
      </c>
      <c r="O199" s="26" t="str">
        <f t="shared" si="69"/>
        <v>Capturado</v>
      </c>
      <c r="P199" s="77"/>
      <c r="Q199" s="2" t="str">
        <f t="shared" si="58"/>
        <v>Imprimir</v>
      </c>
      <c r="R199" s="2"/>
      <c r="S199" s="2"/>
      <c r="T199" s="64"/>
      <c r="U199" s="18" t="s">
        <v>15</v>
      </c>
      <c r="V199" s="18" t="s">
        <v>15</v>
      </c>
      <c r="W199" s="18" t="str">
        <f t="shared" si="54"/>
        <v>CAP</v>
      </c>
      <c r="X199" s="18" t="str">
        <f t="shared" si="55"/>
        <v>. 188 - NC</v>
      </c>
      <c r="Y199" s="18"/>
      <c r="AA199" s="22">
        <v>0</v>
      </c>
      <c r="AB199" s="29" t="str">
        <f t="shared" si="71"/>
        <v>Cambió</v>
      </c>
      <c r="AC199" s="30" t="s">
        <v>37</v>
      </c>
      <c r="AD199" s="29" t="s">
        <v>33</v>
      </c>
      <c r="AE199" s="29" t="s">
        <v>33</v>
      </c>
      <c r="AF199" s="11" t="s">
        <v>72</v>
      </c>
      <c r="AG199" s="31"/>
      <c r="AH199" s="31"/>
    </row>
    <row r="200" spans="1:34" s="26" customFormat="1" ht="45" x14ac:dyDescent="0.25">
      <c r="A200" s="67">
        <v>189</v>
      </c>
      <c r="B200" s="82" t="s">
        <v>377</v>
      </c>
      <c r="C200" s="21" t="s">
        <v>560</v>
      </c>
      <c r="D200" s="22">
        <v>250000</v>
      </c>
      <c r="E200" s="23" t="str">
        <f t="shared" si="64"/>
        <v>GUANAJUATO</v>
      </c>
      <c r="F200" s="23" t="str">
        <f t="shared" si="65"/>
        <v>SAN FELIPE</v>
      </c>
      <c r="G200" s="66" t="s">
        <v>46</v>
      </c>
      <c r="H200" s="85" t="str">
        <f>J200&amp;"
METROS LINEALES"</f>
        <v>35
METROS LINEALES</v>
      </c>
      <c r="I200" s="25">
        <f>61*5</f>
        <v>305</v>
      </c>
      <c r="J200" s="26">
        <v>35</v>
      </c>
      <c r="K200" s="32">
        <f>D200/J200</f>
        <v>7142.8571428571431</v>
      </c>
      <c r="L200" s="27">
        <v>44880</v>
      </c>
      <c r="M200" s="28" t="s">
        <v>26</v>
      </c>
      <c r="N200" s="26" t="str">
        <f t="shared" si="70"/>
        <v>Capturado</v>
      </c>
      <c r="O200" s="26" t="str">
        <f t="shared" si="69"/>
        <v>Capturado</v>
      </c>
      <c r="P200" s="77"/>
      <c r="Q200" s="2" t="str">
        <f t="shared" si="58"/>
        <v>Imprimir</v>
      </c>
      <c r="R200" s="2"/>
      <c r="S200" s="2"/>
      <c r="T200" s="64"/>
      <c r="U200" s="18" t="s">
        <v>15</v>
      </c>
      <c r="V200" s="18" t="s">
        <v>15</v>
      </c>
      <c r="W200" s="18" t="str">
        <f t="shared" si="54"/>
        <v>CAP</v>
      </c>
      <c r="X200" s="18" t="str">
        <f t="shared" si="55"/>
        <v>. 189 - NC</v>
      </c>
      <c r="Y200" s="18"/>
      <c r="AA200" s="22">
        <v>0</v>
      </c>
      <c r="AB200" s="29" t="str">
        <f t="shared" ref="AB200:AB224" si="76">IF(D200&gt;0,IF(D200=AA200,"Sin Cambio","Cambió"),"")</f>
        <v>Cambió</v>
      </c>
      <c r="AC200" s="30" t="s">
        <v>37</v>
      </c>
      <c r="AD200" s="29" t="s">
        <v>33</v>
      </c>
      <c r="AE200" s="29" t="s">
        <v>33</v>
      </c>
      <c r="AF200" s="11" t="s">
        <v>72</v>
      </c>
      <c r="AG200" s="31"/>
      <c r="AH200" s="31"/>
    </row>
    <row r="201" spans="1:34" s="26" customFormat="1" ht="68.25" customHeight="1" x14ac:dyDescent="0.25">
      <c r="A201" s="67">
        <v>190</v>
      </c>
      <c r="B201" s="82" t="s">
        <v>377</v>
      </c>
      <c r="C201" s="21" t="s">
        <v>561</v>
      </c>
      <c r="D201" s="22">
        <v>3000000</v>
      </c>
      <c r="E201" s="23" t="str">
        <f t="shared" si="64"/>
        <v>GUANAJUATO</v>
      </c>
      <c r="F201" s="23" t="str">
        <f t="shared" si="65"/>
        <v>SAN FELIPE</v>
      </c>
      <c r="G201" s="66" t="s">
        <v>64</v>
      </c>
      <c r="H201" s="85" t="str">
        <f>J201&amp;"
METROS LINEALES"</f>
        <v>910
METROS LINEALES</v>
      </c>
      <c r="I201" s="25">
        <v>350</v>
      </c>
      <c r="J201" s="26">
        <f>ROUNDUP(D201/3300,0)</f>
        <v>910</v>
      </c>
      <c r="K201" s="26" t="b">
        <f>EXACT(C201,'[1]Presupuesto Egresos POA 2023'!P2199)</f>
        <v>0</v>
      </c>
      <c r="L201" s="27">
        <v>44880</v>
      </c>
      <c r="M201" s="28" t="s">
        <v>26</v>
      </c>
      <c r="N201" s="26" t="str">
        <f t="shared" si="70"/>
        <v>Capturado</v>
      </c>
      <c r="O201" s="26" t="str">
        <f t="shared" si="69"/>
        <v>Capturado</v>
      </c>
      <c r="P201" s="77"/>
      <c r="Q201" s="2" t="str">
        <f t="shared" si="58"/>
        <v>Imprimir</v>
      </c>
      <c r="R201" s="2"/>
      <c r="S201" s="2"/>
      <c r="T201" s="64"/>
      <c r="U201" s="18" t="s">
        <v>15</v>
      </c>
      <c r="V201" s="18" t="s">
        <v>15</v>
      </c>
      <c r="W201" s="18" t="str">
        <f t="shared" si="54"/>
        <v>CAP</v>
      </c>
      <c r="X201" s="18" t="str">
        <f t="shared" si="55"/>
        <v>. 190 - NC</v>
      </c>
      <c r="Y201" s="18"/>
      <c r="AA201" s="22">
        <v>0</v>
      </c>
      <c r="AB201" s="29" t="str">
        <f t="shared" si="76"/>
        <v>Cambió</v>
      </c>
      <c r="AC201" s="30" t="s">
        <v>37</v>
      </c>
      <c r="AD201" s="29" t="s">
        <v>33</v>
      </c>
      <c r="AE201" s="29" t="s">
        <v>33</v>
      </c>
      <c r="AF201" s="11" t="s">
        <v>72</v>
      </c>
      <c r="AG201" s="31"/>
      <c r="AH201" s="31"/>
    </row>
    <row r="202" spans="1:34" s="26" customFormat="1" ht="75" x14ac:dyDescent="0.25">
      <c r="A202" s="67">
        <v>191</v>
      </c>
      <c r="B202" s="82" t="s">
        <v>377</v>
      </c>
      <c r="C202" s="21" t="s">
        <v>562</v>
      </c>
      <c r="D202" s="22">
        <v>2500000</v>
      </c>
      <c r="E202" s="23" t="str">
        <f t="shared" si="64"/>
        <v>GUANAJUATO</v>
      </c>
      <c r="F202" s="23" t="str">
        <f t="shared" si="65"/>
        <v>SAN FELIPE</v>
      </c>
      <c r="G202" s="66" t="s">
        <v>45</v>
      </c>
      <c r="H202" s="85" t="str">
        <f>J202&amp;"
METROS LINEALES"</f>
        <v>758
METROS LINEALES</v>
      </c>
      <c r="I202" s="25">
        <v>720</v>
      </c>
      <c r="J202" s="26">
        <f>ROUNDUP(D202/3300,0)</f>
        <v>758</v>
      </c>
      <c r="K202" s="26" t="b">
        <f>EXACT(C202,'[1]Presupuesto Egresos POA 2023'!P2200)</f>
        <v>0</v>
      </c>
      <c r="L202" s="27">
        <v>44880</v>
      </c>
      <c r="M202" s="28" t="s">
        <v>26</v>
      </c>
      <c r="N202" s="26" t="str">
        <f t="shared" si="70"/>
        <v>Capturado</v>
      </c>
      <c r="O202" s="26" t="str">
        <f t="shared" si="69"/>
        <v>Capturado</v>
      </c>
      <c r="P202" s="77"/>
      <c r="Q202" s="2" t="str">
        <f t="shared" si="58"/>
        <v>Imprimir</v>
      </c>
      <c r="R202" s="2"/>
      <c r="S202" s="2"/>
      <c r="T202" s="64"/>
      <c r="U202" s="18" t="s">
        <v>15</v>
      </c>
      <c r="V202" s="18" t="s">
        <v>15</v>
      </c>
      <c r="W202" s="18" t="str">
        <f t="shared" si="54"/>
        <v>CAP</v>
      </c>
      <c r="X202" s="18" t="str">
        <f t="shared" si="55"/>
        <v>. 191 - NC</v>
      </c>
      <c r="Y202" s="18"/>
      <c r="AA202" s="22">
        <v>0</v>
      </c>
      <c r="AB202" s="29" t="str">
        <f t="shared" si="76"/>
        <v>Cambió</v>
      </c>
      <c r="AC202" s="30" t="s">
        <v>37</v>
      </c>
      <c r="AD202" s="29" t="s">
        <v>33</v>
      </c>
      <c r="AE202" s="29" t="s">
        <v>33</v>
      </c>
      <c r="AF202" s="11" t="s">
        <v>72</v>
      </c>
      <c r="AG202" s="31"/>
      <c r="AH202" s="31"/>
    </row>
    <row r="203" spans="1:34" s="26" customFormat="1" ht="60" x14ac:dyDescent="0.25">
      <c r="A203" s="67">
        <v>192</v>
      </c>
      <c r="B203" s="82" t="s">
        <v>377</v>
      </c>
      <c r="C203" s="21" t="s">
        <v>563</v>
      </c>
      <c r="D203" s="22">
        <v>2000000</v>
      </c>
      <c r="E203" s="23" t="str">
        <f t="shared" si="64"/>
        <v>GUANAJUATO</v>
      </c>
      <c r="F203" s="23" t="str">
        <f t="shared" si="65"/>
        <v>SAN FELIPE</v>
      </c>
      <c r="G203" s="66" t="s">
        <v>392</v>
      </c>
      <c r="H203" s="85" t="str">
        <f>J203&amp;"
POZO AGUA POTABLE"</f>
        <v>1
POZO AGUA POTABLE</v>
      </c>
      <c r="I203" s="25">
        <v>750</v>
      </c>
      <c r="J203" s="26">
        <v>1</v>
      </c>
      <c r="K203" s="26" t="b">
        <f>EXACT(C203,'[1]Presupuesto Egresos POA 2023'!P2201)</f>
        <v>0</v>
      </c>
      <c r="L203" s="27">
        <v>44880</v>
      </c>
      <c r="M203" s="28" t="s">
        <v>26</v>
      </c>
      <c r="N203" s="26" t="str">
        <f t="shared" si="70"/>
        <v>Capturado</v>
      </c>
      <c r="O203" s="26" t="str">
        <f t="shared" si="69"/>
        <v>Capturado</v>
      </c>
      <c r="P203" s="77"/>
      <c r="Q203" s="2" t="str">
        <f t="shared" si="58"/>
        <v>Imprimir</v>
      </c>
      <c r="R203" s="2"/>
      <c r="S203" s="2"/>
      <c r="T203" s="64"/>
      <c r="U203" s="18" t="s">
        <v>15</v>
      </c>
      <c r="V203" s="18" t="s">
        <v>15</v>
      </c>
      <c r="W203" s="18" t="str">
        <f t="shared" si="54"/>
        <v>CAP</v>
      </c>
      <c r="X203" s="18" t="str">
        <f t="shared" si="55"/>
        <v>. 192 - NC</v>
      </c>
      <c r="Y203" s="18"/>
      <c r="AA203" s="22">
        <v>0</v>
      </c>
      <c r="AB203" s="29" t="str">
        <f t="shared" si="76"/>
        <v>Cambió</v>
      </c>
      <c r="AC203" s="30" t="s">
        <v>37</v>
      </c>
      <c r="AD203" s="29" t="s">
        <v>33</v>
      </c>
      <c r="AE203" s="29" t="s">
        <v>33</v>
      </c>
      <c r="AF203" s="11" t="s">
        <v>72</v>
      </c>
      <c r="AG203" s="31"/>
      <c r="AH203" s="31"/>
    </row>
    <row r="204" spans="1:34" s="26" customFormat="1" ht="60" x14ac:dyDescent="0.25">
      <c r="A204" s="67">
        <v>193</v>
      </c>
      <c r="B204" s="82" t="s">
        <v>377</v>
      </c>
      <c r="C204" s="21" t="s">
        <v>564</v>
      </c>
      <c r="D204" s="22">
        <v>1634468.65</v>
      </c>
      <c r="E204" s="23" t="str">
        <f>IF(D204&gt;0,"GUANAJUATO","")</f>
        <v>GUANAJUATO</v>
      </c>
      <c r="F204" s="23" t="str">
        <f>IF(D204&gt;0,"SAN FELIPE","")</f>
        <v>SAN FELIPE</v>
      </c>
      <c r="G204" s="66" t="s">
        <v>390</v>
      </c>
      <c r="H204" s="85" t="str">
        <f>J204&amp;"
METROS LINEALES"</f>
        <v>496
METROS LINEALES</v>
      </c>
      <c r="I204" s="25">
        <v>176</v>
      </c>
      <c r="J204" s="26">
        <f>ROUNDUP(D204/3300,0)</f>
        <v>496</v>
      </c>
      <c r="K204" s="26" t="b">
        <f>EXACT(C204,'[1]Presupuesto Egresos POA 2023'!P2202)</f>
        <v>0</v>
      </c>
      <c r="L204" s="27">
        <v>44880</v>
      </c>
      <c r="M204" s="28" t="s">
        <v>26</v>
      </c>
      <c r="N204" s="26" t="str">
        <f t="shared" si="70"/>
        <v>Capturado</v>
      </c>
      <c r="O204" s="26" t="str">
        <f t="shared" si="69"/>
        <v>Capturado</v>
      </c>
      <c r="P204" s="77"/>
      <c r="Q204" s="2" t="str">
        <f t="shared" si="58"/>
        <v>Imprimir</v>
      </c>
      <c r="R204" s="2"/>
      <c r="S204" s="2"/>
      <c r="T204" s="64"/>
      <c r="U204" s="18" t="s">
        <v>15</v>
      </c>
      <c r="V204" s="18" t="s">
        <v>15</v>
      </c>
      <c r="W204" s="18" t="str">
        <f t="shared" si="54"/>
        <v>CAP</v>
      </c>
      <c r="X204" s="18" t="str">
        <f t="shared" si="55"/>
        <v>. 193 - NC</v>
      </c>
      <c r="Y204" s="18"/>
      <c r="AA204" s="22">
        <v>0</v>
      </c>
      <c r="AB204" s="29" t="str">
        <f t="shared" si="76"/>
        <v>Cambió</v>
      </c>
      <c r="AC204" s="30" t="s">
        <v>37</v>
      </c>
      <c r="AD204" s="29" t="s">
        <v>33</v>
      </c>
      <c r="AE204" s="29" t="s">
        <v>33</v>
      </c>
      <c r="AF204" s="11" t="s">
        <v>72</v>
      </c>
      <c r="AG204" s="31"/>
      <c r="AH204" s="31"/>
    </row>
    <row r="205" spans="1:34" s="26" customFormat="1" ht="45" x14ac:dyDescent="0.25">
      <c r="A205" s="67">
        <v>194</v>
      </c>
      <c r="B205" s="82" t="s">
        <v>377</v>
      </c>
      <c r="C205" s="21" t="s">
        <v>565</v>
      </c>
      <c r="D205" s="22">
        <v>1750000</v>
      </c>
      <c r="E205" s="23" t="str">
        <f t="shared" si="64"/>
        <v>GUANAJUATO</v>
      </c>
      <c r="F205" s="23" t="str">
        <f t="shared" si="65"/>
        <v>SAN FELIPE</v>
      </c>
      <c r="G205" s="66" t="s">
        <v>619</v>
      </c>
      <c r="H205" s="85" t="str">
        <f>J205&amp;"
TANQUE"</f>
        <v>1
TANQUE</v>
      </c>
      <c r="I205" s="25">
        <v>120</v>
      </c>
      <c r="J205" s="26">
        <v>1</v>
      </c>
      <c r="K205" s="26" t="b">
        <f>EXACT(C205,'[1]Presupuesto Egresos POA 2023'!P2203)</f>
        <v>0</v>
      </c>
      <c r="L205" s="27">
        <v>44880</v>
      </c>
      <c r="M205" s="28" t="s">
        <v>26</v>
      </c>
      <c r="N205" s="26" t="str">
        <f t="shared" si="70"/>
        <v>Capturado</v>
      </c>
      <c r="O205" s="26" t="str">
        <f t="shared" si="69"/>
        <v>Capturado</v>
      </c>
      <c r="P205" s="77"/>
      <c r="Q205" s="2" t="str">
        <f t="shared" si="58"/>
        <v>Imprimir</v>
      </c>
      <c r="R205" s="2"/>
      <c r="S205" s="2"/>
      <c r="T205" s="64"/>
      <c r="U205" s="18" t="s">
        <v>15</v>
      </c>
      <c r="V205" s="18" t="s">
        <v>15</v>
      </c>
      <c r="W205" s="18" t="str">
        <f t="shared" si="54"/>
        <v>CAP</v>
      </c>
      <c r="X205" s="18" t="str">
        <f t="shared" si="55"/>
        <v>. 194 - NC</v>
      </c>
      <c r="Y205" s="18"/>
      <c r="AA205" s="22">
        <v>0</v>
      </c>
      <c r="AB205" s="29" t="str">
        <f t="shared" si="76"/>
        <v>Cambió</v>
      </c>
      <c r="AC205" s="30" t="s">
        <v>37</v>
      </c>
      <c r="AD205" s="29" t="s">
        <v>33</v>
      </c>
      <c r="AE205" s="29" t="s">
        <v>33</v>
      </c>
      <c r="AF205" s="11" t="s">
        <v>72</v>
      </c>
      <c r="AG205" s="31"/>
      <c r="AH205" s="31"/>
    </row>
    <row r="206" spans="1:34" s="26" customFormat="1" ht="45" x14ac:dyDescent="0.25">
      <c r="A206" s="67">
        <v>195</v>
      </c>
      <c r="B206" s="82" t="s">
        <v>377</v>
      </c>
      <c r="C206" s="21" t="s">
        <v>566</v>
      </c>
      <c r="D206" s="22">
        <v>3200000</v>
      </c>
      <c r="E206" s="23" t="str">
        <f t="shared" si="64"/>
        <v>GUANAJUATO</v>
      </c>
      <c r="F206" s="23" t="str">
        <f t="shared" si="65"/>
        <v>SAN FELIPE</v>
      </c>
      <c r="G206" s="66" t="s">
        <v>665</v>
      </c>
      <c r="H206" s="85" t="str">
        <f>J206&amp;"
METROS LINEALES"</f>
        <v>970
METROS LINEALES</v>
      </c>
      <c r="I206" s="25">
        <v>189</v>
      </c>
      <c r="J206" s="26">
        <f>ROUNDUP(D206/3300,0)</f>
        <v>970</v>
      </c>
      <c r="K206" s="26" t="b">
        <f>EXACT(C206,'[1]Presupuesto Egresos POA 2023'!P2204)</f>
        <v>0</v>
      </c>
      <c r="L206" s="27">
        <v>44880</v>
      </c>
      <c r="M206" s="28" t="s">
        <v>26</v>
      </c>
      <c r="N206" s="26" t="str">
        <f t="shared" si="70"/>
        <v>Capturado</v>
      </c>
      <c r="O206" s="26" t="str">
        <f t="shared" si="69"/>
        <v>Capturado</v>
      </c>
      <c r="P206" s="77"/>
      <c r="Q206" s="2" t="str">
        <f t="shared" si="58"/>
        <v>Imprimir</v>
      </c>
      <c r="R206" s="2"/>
      <c r="S206" s="2"/>
      <c r="T206" s="64"/>
      <c r="U206" s="18" t="s">
        <v>15</v>
      </c>
      <c r="V206" s="18" t="s">
        <v>15</v>
      </c>
      <c r="W206" s="18" t="str">
        <f t="shared" si="54"/>
        <v>CAP</v>
      </c>
      <c r="X206" s="18" t="str">
        <f t="shared" si="55"/>
        <v>. 195 - NC</v>
      </c>
      <c r="Y206" s="18"/>
      <c r="AA206" s="22">
        <v>0</v>
      </c>
      <c r="AB206" s="29" t="str">
        <f t="shared" si="76"/>
        <v>Cambió</v>
      </c>
      <c r="AC206" s="30" t="s">
        <v>37</v>
      </c>
      <c r="AD206" s="29" t="s">
        <v>33</v>
      </c>
      <c r="AE206" s="29" t="s">
        <v>33</v>
      </c>
      <c r="AF206" s="11" t="s">
        <v>72</v>
      </c>
      <c r="AG206" s="31"/>
      <c r="AH206" s="31"/>
    </row>
    <row r="207" spans="1:34" s="26" customFormat="1" ht="45" x14ac:dyDescent="0.25">
      <c r="A207" s="67">
        <v>196</v>
      </c>
      <c r="B207" s="82" t="s">
        <v>377</v>
      </c>
      <c r="C207" s="21" t="s">
        <v>567</v>
      </c>
      <c r="D207" s="22">
        <v>1000000</v>
      </c>
      <c r="E207" s="23" t="str">
        <f t="shared" si="64"/>
        <v>GUANAJUATO</v>
      </c>
      <c r="F207" s="23" t="str">
        <f t="shared" si="65"/>
        <v>SAN FELIPE</v>
      </c>
      <c r="G207" s="66" t="s">
        <v>62</v>
      </c>
      <c r="H207" s="85" t="str">
        <f>J207&amp;"
METROS LINEALES"</f>
        <v>304
METROS LINEALES</v>
      </c>
      <c r="I207" s="25">
        <v>1663</v>
      </c>
      <c r="J207" s="26">
        <f>ROUNDUP(D207/3300,0)</f>
        <v>304</v>
      </c>
      <c r="K207" s="26" t="b">
        <f>EXACT(C207,'[1]Presupuesto Egresos POA 2023'!P2205)</f>
        <v>0</v>
      </c>
      <c r="L207" s="27">
        <v>44881</v>
      </c>
      <c r="M207" s="28" t="s">
        <v>26</v>
      </c>
      <c r="N207" s="26" t="str">
        <f t="shared" si="70"/>
        <v>Capturado</v>
      </c>
      <c r="O207" s="26" t="str">
        <f t="shared" si="69"/>
        <v>Capturado</v>
      </c>
      <c r="P207" s="77"/>
      <c r="Q207" s="2" t="str">
        <f t="shared" si="58"/>
        <v>Imprimir</v>
      </c>
      <c r="R207" s="2"/>
      <c r="S207" s="2"/>
      <c r="T207" s="64"/>
      <c r="U207" s="18" t="s">
        <v>15</v>
      </c>
      <c r="V207" s="18" t="s">
        <v>15</v>
      </c>
      <c r="W207" s="18" t="str">
        <f t="shared" si="54"/>
        <v>CAP</v>
      </c>
      <c r="X207" s="18" t="str">
        <f t="shared" si="55"/>
        <v>. 196 - NC</v>
      </c>
      <c r="Y207" s="18"/>
      <c r="AA207" s="22">
        <v>0</v>
      </c>
      <c r="AB207" s="29" t="str">
        <f t="shared" si="76"/>
        <v>Cambió</v>
      </c>
      <c r="AC207" s="30" t="s">
        <v>37</v>
      </c>
      <c r="AD207" s="29" t="s">
        <v>33</v>
      </c>
      <c r="AE207" s="29" t="s">
        <v>33</v>
      </c>
      <c r="AF207" s="11" t="s">
        <v>72</v>
      </c>
      <c r="AG207" s="31"/>
      <c r="AH207" s="31"/>
    </row>
    <row r="208" spans="1:34" s="26" customFormat="1" ht="60" x14ac:dyDescent="0.25">
      <c r="A208" s="67">
        <v>197</v>
      </c>
      <c r="B208" s="82" t="s">
        <v>377</v>
      </c>
      <c r="C208" s="21" t="s">
        <v>568</v>
      </c>
      <c r="D208" s="22">
        <v>4000000</v>
      </c>
      <c r="E208" s="23" t="str">
        <f t="shared" si="64"/>
        <v>GUANAJUATO</v>
      </c>
      <c r="F208" s="23" t="str">
        <f t="shared" si="65"/>
        <v>SAN FELIPE</v>
      </c>
      <c r="G208" s="80" t="s">
        <v>617</v>
      </c>
      <c r="H208" s="85" t="str">
        <f>J208&amp;"
METROS LINEALES"</f>
        <v>1600
METROS LINEALES</v>
      </c>
      <c r="I208" s="25">
        <v>255</v>
      </c>
      <c r="J208" s="26">
        <f>ROUNDUP(D208/2500,0)</f>
        <v>1600</v>
      </c>
      <c r="K208" s="26" t="b">
        <f>EXACT(C208,'[1]Presupuesto Egresos POA 2023'!P2206)</f>
        <v>0</v>
      </c>
      <c r="L208" s="27">
        <v>44881</v>
      </c>
      <c r="M208" s="28" t="s">
        <v>26</v>
      </c>
      <c r="N208" s="26" t="str">
        <f t="shared" si="70"/>
        <v>Capturado</v>
      </c>
      <c r="O208" s="26" t="str">
        <f t="shared" si="69"/>
        <v>Capturado</v>
      </c>
      <c r="P208" s="77"/>
      <c r="Q208" s="2" t="str">
        <f t="shared" si="58"/>
        <v>Imprimir</v>
      </c>
      <c r="R208" s="2"/>
      <c r="S208" s="2"/>
      <c r="T208" s="64"/>
      <c r="U208" s="18" t="s">
        <v>15</v>
      </c>
      <c r="V208" s="18" t="s">
        <v>15</v>
      </c>
      <c r="W208" s="18" t="str">
        <f t="shared" si="54"/>
        <v>CAP</v>
      </c>
      <c r="X208" s="18" t="str">
        <f t="shared" si="55"/>
        <v>. 197 - NC</v>
      </c>
      <c r="Y208" s="18"/>
      <c r="AA208" s="22">
        <v>0</v>
      </c>
      <c r="AB208" s="29" t="str">
        <f t="shared" si="76"/>
        <v>Cambió</v>
      </c>
      <c r="AC208" s="30" t="s">
        <v>37</v>
      </c>
      <c r="AD208" s="29" t="s">
        <v>33</v>
      </c>
      <c r="AE208" s="29" t="s">
        <v>33</v>
      </c>
      <c r="AF208" s="11" t="s">
        <v>72</v>
      </c>
      <c r="AG208" s="31"/>
      <c r="AH208" s="31"/>
    </row>
    <row r="209" spans="1:34" s="26" customFormat="1" ht="60" x14ac:dyDescent="0.25">
      <c r="A209" s="67">
        <v>198</v>
      </c>
      <c r="B209" s="82" t="s">
        <v>377</v>
      </c>
      <c r="C209" s="21" t="s">
        <v>569</v>
      </c>
      <c r="D209" s="22">
        <v>3000000</v>
      </c>
      <c r="E209" s="23" t="str">
        <f t="shared" si="64"/>
        <v>GUANAJUATO</v>
      </c>
      <c r="F209" s="23" t="str">
        <f t="shared" si="65"/>
        <v>SAN FELIPE</v>
      </c>
      <c r="G209" s="66" t="s">
        <v>38</v>
      </c>
      <c r="H209" s="85" t="str">
        <f>J209&amp;"
METROS LINEALES"</f>
        <v>1200
METROS LINEALES</v>
      </c>
      <c r="I209" s="25">
        <v>912</v>
      </c>
      <c r="J209" s="26">
        <f>ROUNDUP(D209/2500,0)</f>
        <v>1200</v>
      </c>
      <c r="K209" s="26" t="b">
        <f>EXACT(C209,'[1]Presupuesto Egresos POA 2023'!P2207)</f>
        <v>0</v>
      </c>
      <c r="L209" s="27">
        <v>44882</v>
      </c>
      <c r="M209" s="28" t="s">
        <v>26</v>
      </c>
      <c r="N209" s="26" t="str">
        <f t="shared" si="70"/>
        <v>Capturado</v>
      </c>
      <c r="O209" s="26" t="str">
        <f t="shared" si="69"/>
        <v>Capturado</v>
      </c>
      <c r="P209" s="77"/>
      <c r="Q209" s="2" t="str">
        <f t="shared" si="58"/>
        <v>Imprimir</v>
      </c>
      <c r="R209" s="2"/>
      <c r="S209" s="2"/>
      <c r="T209" s="64"/>
      <c r="U209" s="18" t="s">
        <v>15</v>
      </c>
      <c r="V209" s="18" t="s">
        <v>15</v>
      </c>
      <c r="W209" s="18" t="str">
        <f t="shared" si="54"/>
        <v>CAP</v>
      </c>
      <c r="X209" s="18" t="str">
        <f t="shared" si="55"/>
        <v>. 198 - NC</v>
      </c>
      <c r="Y209" s="18"/>
      <c r="AA209" s="22">
        <v>0</v>
      </c>
      <c r="AB209" s="29" t="str">
        <f t="shared" si="76"/>
        <v>Cambió</v>
      </c>
      <c r="AC209" s="30" t="s">
        <v>37</v>
      </c>
      <c r="AD209" s="29" t="s">
        <v>33</v>
      </c>
      <c r="AE209" s="29" t="s">
        <v>33</v>
      </c>
      <c r="AF209" s="11" t="s">
        <v>72</v>
      </c>
      <c r="AG209" s="31"/>
      <c r="AH209" s="31"/>
    </row>
    <row r="210" spans="1:34" s="26" customFormat="1" ht="69" customHeight="1" x14ac:dyDescent="0.25">
      <c r="A210" s="67">
        <v>199</v>
      </c>
      <c r="B210" s="82" t="s">
        <v>377</v>
      </c>
      <c r="C210" s="21" t="s">
        <v>570</v>
      </c>
      <c r="D210" s="22">
        <v>4500000</v>
      </c>
      <c r="E210" s="23" t="str">
        <f t="shared" si="64"/>
        <v>GUANAJUATO</v>
      </c>
      <c r="F210" s="23" t="str">
        <f t="shared" si="65"/>
        <v>SAN FELIPE</v>
      </c>
      <c r="G210" s="66" t="s">
        <v>351</v>
      </c>
      <c r="H210" s="85" t="str">
        <f>J210&amp;"
PLANTA(S)"</f>
        <v>1
PLANTA(S)</v>
      </c>
      <c r="I210" s="25">
        <v>2014</v>
      </c>
      <c r="J210" s="26">
        <v>1</v>
      </c>
      <c r="K210" s="26" t="b">
        <f>EXACT(C210,'[1]Presupuesto Egresos POA 2023'!P2208)</f>
        <v>0</v>
      </c>
      <c r="L210" s="27">
        <v>44882</v>
      </c>
      <c r="M210" s="28" t="s">
        <v>26</v>
      </c>
      <c r="N210" s="26" t="str">
        <f t="shared" si="70"/>
        <v>Capturado</v>
      </c>
      <c r="O210" s="26" t="str">
        <f t="shared" si="69"/>
        <v>Capturado</v>
      </c>
      <c r="P210" s="77"/>
      <c r="Q210" s="2" t="str">
        <f t="shared" si="58"/>
        <v>Imprimir</v>
      </c>
      <c r="R210" s="2"/>
      <c r="S210" s="2"/>
      <c r="T210" s="64"/>
      <c r="U210" s="18" t="s">
        <v>15</v>
      </c>
      <c r="V210" s="18" t="s">
        <v>15</v>
      </c>
      <c r="W210" s="18" t="str">
        <f t="shared" si="54"/>
        <v>CAP</v>
      </c>
      <c r="X210" s="18" t="str">
        <f t="shared" si="55"/>
        <v>. 199 - NC</v>
      </c>
      <c r="Y210" s="18"/>
      <c r="AA210" s="22">
        <v>0</v>
      </c>
      <c r="AB210" s="29" t="str">
        <f t="shared" si="76"/>
        <v>Cambió</v>
      </c>
      <c r="AC210" s="30" t="s">
        <v>37</v>
      </c>
      <c r="AD210" s="29" t="s">
        <v>33</v>
      </c>
      <c r="AE210" s="29" t="s">
        <v>33</v>
      </c>
      <c r="AF210" s="11" t="s">
        <v>72</v>
      </c>
      <c r="AG210" s="31"/>
      <c r="AH210" s="31"/>
    </row>
    <row r="211" spans="1:34" s="26" customFormat="1" ht="60" x14ac:dyDescent="0.25">
      <c r="A211" s="67">
        <v>200</v>
      </c>
      <c r="B211" s="82" t="s">
        <v>377</v>
      </c>
      <c r="C211" s="21" t="s">
        <v>571</v>
      </c>
      <c r="D211" s="22">
        <v>5000000</v>
      </c>
      <c r="E211" s="23" t="str">
        <f t="shared" si="64"/>
        <v>GUANAJUATO</v>
      </c>
      <c r="F211" s="23" t="str">
        <f t="shared" si="65"/>
        <v>SAN FELIPE</v>
      </c>
      <c r="G211" s="66" t="s">
        <v>389</v>
      </c>
      <c r="H211" s="85" t="str">
        <f>J211&amp;"
METROS LINEALES"</f>
        <v>2000
METROS LINEALES</v>
      </c>
      <c r="I211" s="25">
        <v>713</v>
      </c>
      <c r="J211" s="26">
        <f>ROUNDUP(D211/2500,0)</f>
        <v>2000</v>
      </c>
      <c r="K211" s="26" t="b">
        <f>EXACT(C211,'[1]Presupuesto Egresos POA 2023'!P2209)</f>
        <v>0</v>
      </c>
      <c r="L211" s="27">
        <v>44882</v>
      </c>
      <c r="M211" s="28" t="s">
        <v>26</v>
      </c>
      <c r="N211" s="26" t="str">
        <f t="shared" si="70"/>
        <v>Capturado</v>
      </c>
      <c r="O211" s="26" t="str">
        <f t="shared" si="69"/>
        <v>Capturado</v>
      </c>
      <c r="P211" s="77"/>
      <c r="Q211" s="2" t="str">
        <f t="shared" si="58"/>
        <v>Imprimir</v>
      </c>
      <c r="R211" s="2"/>
      <c r="S211" s="2"/>
      <c r="T211" s="64"/>
      <c r="U211" s="18" t="s">
        <v>15</v>
      </c>
      <c r="V211" s="18" t="s">
        <v>15</v>
      </c>
      <c r="W211" s="18" t="str">
        <f t="shared" si="54"/>
        <v>CAP</v>
      </c>
      <c r="X211" s="18" t="str">
        <f t="shared" si="55"/>
        <v>. 200 - NC</v>
      </c>
      <c r="Y211" s="18"/>
      <c r="AA211" s="22">
        <v>0</v>
      </c>
      <c r="AB211" s="29" t="str">
        <f t="shared" si="76"/>
        <v>Cambió</v>
      </c>
      <c r="AC211" s="30" t="s">
        <v>37</v>
      </c>
      <c r="AD211" s="29" t="s">
        <v>33</v>
      </c>
      <c r="AE211" s="29" t="s">
        <v>33</v>
      </c>
      <c r="AF211" s="11" t="s">
        <v>72</v>
      </c>
      <c r="AG211" s="31"/>
      <c r="AH211" s="31"/>
    </row>
    <row r="212" spans="1:34" s="26" customFormat="1" ht="56.25" customHeight="1" x14ac:dyDescent="0.25">
      <c r="A212" s="67">
        <v>201</v>
      </c>
      <c r="B212" s="82" t="s">
        <v>377</v>
      </c>
      <c r="C212" s="21" t="s">
        <v>572</v>
      </c>
      <c r="D212" s="22">
        <v>2000000</v>
      </c>
      <c r="E212" s="23" t="str">
        <f t="shared" si="64"/>
        <v>GUANAJUATO</v>
      </c>
      <c r="F212" s="23" t="str">
        <f t="shared" si="65"/>
        <v>SAN FELIPE</v>
      </c>
      <c r="G212" s="66" t="s">
        <v>328</v>
      </c>
      <c r="H212" s="85" t="str">
        <f t="shared" ref="H212:H217" si="77">J212&amp;"
METROS CUADRADOS"</f>
        <v>611
METROS CUADRADOS</v>
      </c>
      <c r="I212" s="25">
        <f>ROUND((K212/10)*5,0)</f>
        <v>38</v>
      </c>
      <c r="J212" s="26">
        <f>ROUNDUP(D212/3275,0)</f>
        <v>611</v>
      </c>
      <c r="K212" s="26">
        <f>J212/8</f>
        <v>76.375</v>
      </c>
      <c r="L212" s="27">
        <v>44882</v>
      </c>
      <c r="M212" s="28" t="s">
        <v>26</v>
      </c>
      <c r="N212" s="26" t="str">
        <f t="shared" si="70"/>
        <v>Capturado</v>
      </c>
      <c r="O212" s="26" t="str">
        <f t="shared" si="69"/>
        <v>Capturado</v>
      </c>
      <c r="P212" s="77"/>
      <c r="Q212" s="2" t="str">
        <f t="shared" si="58"/>
        <v>Imprimir</v>
      </c>
      <c r="R212" s="2"/>
      <c r="S212" s="2"/>
      <c r="T212" s="64"/>
      <c r="U212" s="18" t="s">
        <v>15</v>
      </c>
      <c r="V212" s="18" t="s">
        <v>15</v>
      </c>
      <c r="W212" s="18" t="str">
        <f t="shared" si="54"/>
        <v>CAP</v>
      </c>
      <c r="X212" s="18" t="str">
        <f t="shared" si="55"/>
        <v>. 201 - NC</v>
      </c>
      <c r="Y212" s="18"/>
      <c r="AA212" s="22">
        <v>0</v>
      </c>
      <c r="AB212" s="29" t="str">
        <f t="shared" si="76"/>
        <v>Cambió</v>
      </c>
      <c r="AC212" s="30" t="s">
        <v>37</v>
      </c>
      <c r="AD212" s="29" t="s">
        <v>33</v>
      </c>
      <c r="AE212" s="29" t="s">
        <v>33</v>
      </c>
      <c r="AF212" s="11" t="s">
        <v>72</v>
      </c>
      <c r="AG212" s="31"/>
      <c r="AH212" s="31"/>
    </row>
    <row r="213" spans="1:34" s="26" customFormat="1" ht="64.5" customHeight="1" x14ac:dyDescent="0.25">
      <c r="A213" s="67">
        <v>202</v>
      </c>
      <c r="B213" s="82" t="s">
        <v>377</v>
      </c>
      <c r="C213" s="21" t="s">
        <v>573</v>
      </c>
      <c r="D213" s="22">
        <v>2000000</v>
      </c>
      <c r="E213" s="23" t="str">
        <f t="shared" si="64"/>
        <v>GUANAJUATO</v>
      </c>
      <c r="F213" s="23" t="str">
        <f t="shared" si="65"/>
        <v>SAN FELIPE</v>
      </c>
      <c r="G213" s="66" t="s">
        <v>628</v>
      </c>
      <c r="H213" s="85" t="str">
        <f t="shared" si="77"/>
        <v>611
METROS CUADRADOS</v>
      </c>
      <c r="I213" s="25">
        <f>ROUND((K213/10)*5,0)</f>
        <v>38</v>
      </c>
      <c r="J213" s="26">
        <f>ROUNDUP(D213/3275,0)</f>
        <v>611</v>
      </c>
      <c r="K213" s="26">
        <f>J213/8</f>
        <v>76.375</v>
      </c>
      <c r="L213" s="27">
        <v>44883</v>
      </c>
      <c r="M213" s="28" t="s">
        <v>26</v>
      </c>
      <c r="N213" s="26" t="str">
        <f t="shared" si="70"/>
        <v>Capturado</v>
      </c>
      <c r="O213" s="26" t="str">
        <f t="shared" si="69"/>
        <v>Capturado</v>
      </c>
      <c r="P213" s="77"/>
      <c r="Q213" s="2" t="str">
        <f t="shared" si="58"/>
        <v>Imprimir</v>
      </c>
      <c r="R213" s="2"/>
      <c r="S213" s="2"/>
      <c r="T213" s="64"/>
      <c r="U213" s="18" t="s">
        <v>15</v>
      </c>
      <c r="V213" s="18" t="s">
        <v>15</v>
      </c>
      <c r="W213" s="18" t="str">
        <f t="shared" si="54"/>
        <v>CAP</v>
      </c>
      <c r="X213" s="18" t="str">
        <f t="shared" si="55"/>
        <v>. 202 - NC</v>
      </c>
      <c r="Y213" s="18"/>
      <c r="AA213" s="22">
        <v>0</v>
      </c>
      <c r="AB213" s="29" t="str">
        <f t="shared" si="76"/>
        <v>Cambió</v>
      </c>
      <c r="AC213" s="30" t="s">
        <v>37</v>
      </c>
      <c r="AD213" s="29" t="s">
        <v>33</v>
      </c>
      <c r="AE213" s="29" t="s">
        <v>33</v>
      </c>
      <c r="AF213" s="11" t="s">
        <v>72</v>
      </c>
      <c r="AG213" s="31"/>
      <c r="AH213" s="31"/>
    </row>
    <row r="214" spans="1:34" s="26" customFormat="1" ht="96" customHeight="1" x14ac:dyDescent="0.25">
      <c r="A214" s="67">
        <v>203</v>
      </c>
      <c r="B214" s="82" t="s">
        <v>377</v>
      </c>
      <c r="C214" s="21" t="s">
        <v>574</v>
      </c>
      <c r="D214" s="22">
        <v>2500000</v>
      </c>
      <c r="E214" s="23" t="str">
        <f>IF(D214&gt;0,"GUANAJUATO","")</f>
        <v>GUANAJUATO</v>
      </c>
      <c r="F214" s="23" t="str">
        <f>IF(D214&gt;0,"SAN FELIPE","")</f>
        <v>SAN FELIPE</v>
      </c>
      <c r="G214" s="66" t="s">
        <v>630</v>
      </c>
      <c r="H214" s="85" t="str">
        <f t="shared" si="77"/>
        <v>764
METROS CUADRADOS</v>
      </c>
      <c r="I214" s="25">
        <f>ROUND((K214/10)*5,0)</f>
        <v>48</v>
      </c>
      <c r="J214" s="26">
        <f>ROUNDUP(D214/3275,0)</f>
        <v>764</v>
      </c>
      <c r="K214" s="26">
        <f>J214/8</f>
        <v>95.5</v>
      </c>
      <c r="L214" s="27">
        <v>44883</v>
      </c>
      <c r="M214" s="28" t="s">
        <v>26</v>
      </c>
      <c r="N214" s="26" t="str">
        <f t="shared" si="70"/>
        <v>Capturado</v>
      </c>
      <c r="O214" s="26" t="str">
        <f t="shared" si="69"/>
        <v>Capturado</v>
      </c>
      <c r="P214" s="77"/>
      <c r="Q214" s="2" t="str">
        <f t="shared" si="58"/>
        <v>Imprimir</v>
      </c>
      <c r="R214" s="2"/>
      <c r="S214" s="2"/>
      <c r="T214" s="64"/>
      <c r="U214" s="18" t="s">
        <v>15</v>
      </c>
      <c r="V214" s="18" t="s">
        <v>15</v>
      </c>
      <c r="W214" s="18" t="str">
        <f>IF(L214="","","CAP")</f>
        <v>CAP</v>
      </c>
      <c r="X214" s="18" t="str">
        <f t="shared" si="55"/>
        <v>. 203 - NC</v>
      </c>
      <c r="Y214" s="18"/>
      <c r="AA214" s="22">
        <v>0</v>
      </c>
      <c r="AB214" s="29" t="str">
        <f t="shared" si="76"/>
        <v>Cambió</v>
      </c>
      <c r="AC214" s="30" t="s">
        <v>37</v>
      </c>
      <c r="AD214" s="29" t="s">
        <v>33</v>
      </c>
      <c r="AE214" s="29" t="s">
        <v>33</v>
      </c>
      <c r="AF214" s="11" t="s">
        <v>72</v>
      </c>
      <c r="AG214" s="31"/>
      <c r="AH214" s="31"/>
    </row>
    <row r="215" spans="1:34" s="26" customFormat="1" ht="76.5" customHeight="1" x14ac:dyDescent="0.25">
      <c r="A215" s="67">
        <v>204</v>
      </c>
      <c r="B215" s="82" t="s">
        <v>377</v>
      </c>
      <c r="C215" s="21" t="s">
        <v>575</v>
      </c>
      <c r="D215" s="22">
        <v>1000000</v>
      </c>
      <c r="E215" s="23" t="str">
        <f t="shared" si="64"/>
        <v>GUANAJUATO</v>
      </c>
      <c r="F215" s="23" t="str">
        <f t="shared" si="65"/>
        <v>SAN FELIPE</v>
      </c>
      <c r="G215" s="66" t="s">
        <v>627</v>
      </c>
      <c r="H215" s="85" t="str">
        <f t="shared" si="77"/>
        <v>306
METROS CUADRADOS</v>
      </c>
      <c r="I215" s="25">
        <f>ROUND((K215/10)*5,0)</f>
        <v>19</v>
      </c>
      <c r="J215" s="26">
        <f>ROUNDUP(D215/3275,0)</f>
        <v>306</v>
      </c>
      <c r="K215" s="26">
        <f>J215/8</f>
        <v>38.25</v>
      </c>
      <c r="L215" s="27">
        <v>44883</v>
      </c>
      <c r="M215" s="28" t="s">
        <v>26</v>
      </c>
      <c r="N215" s="26" t="str">
        <f t="shared" si="70"/>
        <v>Capturado</v>
      </c>
      <c r="O215" s="26" t="str">
        <f t="shared" si="69"/>
        <v>Capturado</v>
      </c>
      <c r="P215" s="77"/>
      <c r="Q215" s="2" t="str">
        <f t="shared" si="58"/>
        <v>Imprimir</v>
      </c>
      <c r="R215" s="2"/>
      <c r="S215" s="2"/>
      <c r="T215" s="64"/>
      <c r="U215" s="18" t="s">
        <v>15</v>
      </c>
      <c r="V215" s="18" t="s">
        <v>15</v>
      </c>
      <c r="W215" s="18" t="str">
        <f t="shared" si="54"/>
        <v>CAP</v>
      </c>
      <c r="X215" s="18" t="str">
        <f t="shared" si="55"/>
        <v>. 204 - NC</v>
      </c>
      <c r="Y215" s="18"/>
      <c r="AA215" s="22">
        <v>0</v>
      </c>
      <c r="AB215" s="29" t="str">
        <f t="shared" si="76"/>
        <v>Cambió</v>
      </c>
      <c r="AC215" s="30" t="s">
        <v>37</v>
      </c>
      <c r="AD215" s="29" t="s">
        <v>33</v>
      </c>
      <c r="AE215" s="29" t="s">
        <v>33</v>
      </c>
      <c r="AF215" s="11" t="s">
        <v>72</v>
      </c>
      <c r="AG215" s="31"/>
      <c r="AH215" s="31"/>
    </row>
    <row r="216" spans="1:34" s="26" customFormat="1" ht="60" x14ac:dyDescent="0.25">
      <c r="A216" s="67">
        <v>205</v>
      </c>
      <c r="B216" s="82" t="s">
        <v>377</v>
      </c>
      <c r="C216" s="21" t="s">
        <v>576</v>
      </c>
      <c r="D216" s="22">
        <v>2000000</v>
      </c>
      <c r="E216" s="23" t="str">
        <f t="shared" si="64"/>
        <v>GUANAJUATO</v>
      </c>
      <c r="F216" s="23" t="str">
        <f t="shared" si="65"/>
        <v>SAN FELIPE</v>
      </c>
      <c r="G216" s="66" t="s">
        <v>12</v>
      </c>
      <c r="H216" s="85" t="str">
        <f t="shared" si="77"/>
        <v>611
METROS CUADRADOS</v>
      </c>
      <c r="I216" s="25">
        <f>ROUND((K216/10)*5,0)</f>
        <v>38</v>
      </c>
      <c r="J216" s="26">
        <f>ROUNDUP(D216/3275,0)</f>
        <v>611</v>
      </c>
      <c r="K216" s="26">
        <f>J216/8</f>
        <v>76.375</v>
      </c>
      <c r="L216" s="27">
        <v>44883</v>
      </c>
      <c r="M216" s="28" t="s">
        <v>26</v>
      </c>
      <c r="N216" s="26" t="str">
        <f t="shared" si="70"/>
        <v>Capturado</v>
      </c>
      <c r="O216" s="26" t="str">
        <f t="shared" si="69"/>
        <v>Capturado</v>
      </c>
      <c r="P216" s="18"/>
      <c r="Q216" s="2" t="str">
        <f t="shared" si="58"/>
        <v>Imprimir</v>
      </c>
      <c r="R216" s="2"/>
      <c r="S216" s="2"/>
      <c r="T216" s="64"/>
      <c r="U216" s="18" t="s">
        <v>15</v>
      </c>
      <c r="V216" s="18" t="s">
        <v>15</v>
      </c>
      <c r="W216" s="18" t="str">
        <f t="shared" ref="W216:W224" si="78">IF(L216="","","CAP")</f>
        <v>CAP</v>
      </c>
      <c r="X216" s="18" t="str">
        <f t="shared" ref="X216:X224" si="79">CONCATENATE($X$9,A216,$X$10,B216)</f>
        <v>. 205 - NC</v>
      </c>
      <c r="Y216" s="18"/>
      <c r="AA216" s="22">
        <v>0</v>
      </c>
      <c r="AB216" s="29" t="str">
        <f t="shared" si="76"/>
        <v>Cambió</v>
      </c>
      <c r="AC216" s="30" t="s">
        <v>37</v>
      </c>
      <c r="AD216" s="29" t="s">
        <v>33</v>
      </c>
      <c r="AE216" s="29" t="s">
        <v>33</v>
      </c>
      <c r="AF216" s="11" t="s">
        <v>72</v>
      </c>
      <c r="AG216" s="31"/>
      <c r="AH216" s="31"/>
    </row>
    <row r="217" spans="1:34" s="26" customFormat="1" ht="126" customHeight="1" x14ac:dyDescent="0.25">
      <c r="A217" s="67">
        <v>206</v>
      </c>
      <c r="B217" s="82" t="s">
        <v>377</v>
      </c>
      <c r="C217" s="21" t="s">
        <v>177</v>
      </c>
      <c r="D217" s="22">
        <v>1700000</v>
      </c>
      <c r="E217" s="23" t="str">
        <f t="shared" si="64"/>
        <v>GUANAJUATO</v>
      </c>
      <c r="F217" s="23" t="str">
        <f t="shared" si="65"/>
        <v>SAN FELIPE</v>
      </c>
      <c r="G217" s="66" t="s">
        <v>12</v>
      </c>
      <c r="H217" s="85" t="str">
        <f t="shared" si="77"/>
        <v>520
METROS CUADRADOS</v>
      </c>
      <c r="I217" s="25">
        <f>ROUND((K217/10)*5,0)</f>
        <v>33</v>
      </c>
      <c r="J217" s="26">
        <f>ROUNDUP(D217/3275,0)</f>
        <v>520</v>
      </c>
      <c r="K217" s="26">
        <f>J217/8</f>
        <v>65</v>
      </c>
      <c r="L217" s="27">
        <v>44883</v>
      </c>
      <c r="M217" s="28" t="s">
        <v>26</v>
      </c>
      <c r="N217" s="26" t="str">
        <f t="shared" si="70"/>
        <v>Capturado</v>
      </c>
      <c r="O217" s="26" t="str">
        <f t="shared" si="69"/>
        <v>Capturado</v>
      </c>
      <c r="P217" s="18"/>
      <c r="Q217" s="2" t="str">
        <f t="shared" si="58"/>
        <v>Imprimir</v>
      </c>
      <c r="R217" s="2"/>
      <c r="S217" s="2"/>
      <c r="T217" s="64"/>
      <c r="U217" s="18" t="s">
        <v>15</v>
      </c>
      <c r="V217" s="18" t="s">
        <v>15</v>
      </c>
      <c r="W217" s="18" t="str">
        <f t="shared" si="78"/>
        <v>CAP</v>
      </c>
      <c r="X217" s="18" t="str">
        <f t="shared" si="79"/>
        <v>. 206 - NC</v>
      </c>
      <c r="Y217" s="18"/>
      <c r="AA217" s="22">
        <v>0</v>
      </c>
      <c r="AB217" s="29" t="str">
        <f t="shared" si="76"/>
        <v>Cambió</v>
      </c>
      <c r="AC217" s="30" t="s">
        <v>37</v>
      </c>
      <c r="AD217" s="29" t="s">
        <v>33</v>
      </c>
      <c r="AE217" s="29" t="s">
        <v>33</v>
      </c>
      <c r="AF217" s="11" t="s">
        <v>72</v>
      </c>
      <c r="AG217" s="31"/>
      <c r="AH217" s="31"/>
    </row>
    <row r="218" spans="1:34" s="26" customFormat="1" ht="60" x14ac:dyDescent="0.25">
      <c r="A218" s="67">
        <v>207</v>
      </c>
      <c r="B218" s="82" t="s">
        <v>377</v>
      </c>
      <c r="C218" s="21" t="s">
        <v>577</v>
      </c>
      <c r="D218" s="22">
        <v>3000000</v>
      </c>
      <c r="E218" s="23" t="str">
        <f t="shared" si="64"/>
        <v>GUANAJUATO</v>
      </c>
      <c r="F218" s="23" t="str">
        <f t="shared" si="65"/>
        <v>SAN FELIPE</v>
      </c>
      <c r="G218" s="66" t="s">
        <v>42</v>
      </c>
      <c r="H218" s="85" t="str">
        <f t="shared" ref="H218:H224" si="80">J218&amp;"
METROS CUADRADOS"</f>
        <v>917
METROS CUADRADOS</v>
      </c>
      <c r="I218" s="25">
        <f>ROUND((K218/10)*5,0)</f>
        <v>57</v>
      </c>
      <c r="J218" s="26">
        <f>ROUNDUP(D218/3275,0)</f>
        <v>917</v>
      </c>
      <c r="K218" s="26">
        <f>J218/8</f>
        <v>114.625</v>
      </c>
      <c r="L218" s="27">
        <v>44883</v>
      </c>
      <c r="M218" s="28" t="s">
        <v>26</v>
      </c>
      <c r="N218" s="26" t="str">
        <f t="shared" si="70"/>
        <v>Capturado</v>
      </c>
      <c r="O218" s="26" t="str">
        <f t="shared" si="69"/>
        <v>Capturado</v>
      </c>
      <c r="P218" s="18"/>
      <c r="Q218" s="2" t="str">
        <f t="shared" si="58"/>
        <v>Imprimir</v>
      </c>
      <c r="R218" s="2"/>
      <c r="S218" s="2"/>
      <c r="T218" s="64"/>
      <c r="U218" s="18" t="s">
        <v>15</v>
      </c>
      <c r="V218" s="18" t="s">
        <v>15</v>
      </c>
      <c r="W218" s="18" t="str">
        <f t="shared" si="78"/>
        <v>CAP</v>
      </c>
      <c r="X218" s="18" t="str">
        <f t="shared" si="79"/>
        <v>. 207 - NC</v>
      </c>
      <c r="Y218" s="18"/>
      <c r="AA218" s="22">
        <v>0</v>
      </c>
      <c r="AB218" s="29" t="str">
        <f t="shared" si="76"/>
        <v>Cambió</v>
      </c>
      <c r="AC218" s="30" t="s">
        <v>37</v>
      </c>
      <c r="AD218" s="29" t="s">
        <v>33</v>
      </c>
      <c r="AE218" s="29" t="s">
        <v>33</v>
      </c>
      <c r="AF218" s="11" t="s">
        <v>72</v>
      </c>
      <c r="AG218" s="31"/>
      <c r="AH218" s="31"/>
    </row>
    <row r="219" spans="1:34" s="26" customFormat="1" ht="86.25" customHeight="1" x14ac:dyDescent="0.25">
      <c r="A219" s="67">
        <v>208</v>
      </c>
      <c r="B219" s="82" t="s">
        <v>377</v>
      </c>
      <c r="C219" s="21" t="s">
        <v>578</v>
      </c>
      <c r="D219" s="22">
        <v>3800000</v>
      </c>
      <c r="E219" s="23" t="str">
        <f t="shared" si="64"/>
        <v>GUANAJUATO</v>
      </c>
      <c r="F219" s="23" t="str">
        <f t="shared" si="65"/>
        <v>SAN FELIPE</v>
      </c>
      <c r="G219" s="66" t="s">
        <v>624</v>
      </c>
      <c r="H219" s="85" t="str">
        <f t="shared" si="80"/>
        <v>1161
METROS CUADRADOS</v>
      </c>
      <c r="I219" s="25">
        <f>ROUND((K219/10)*5,0)</f>
        <v>73</v>
      </c>
      <c r="J219" s="26">
        <f>ROUNDUP(D219/3275,0)</f>
        <v>1161</v>
      </c>
      <c r="K219" s="26">
        <f>J219/8</f>
        <v>145.125</v>
      </c>
      <c r="L219" s="27">
        <v>44883</v>
      </c>
      <c r="M219" s="28" t="s">
        <v>26</v>
      </c>
      <c r="N219" s="26" t="str">
        <f t="shared" si="70"/>
        <v>Capturado</v>
      </c>
      <c r="O219" s="26" t="str">
        <f t="shared" si="69"/>
        <v>Capturado</v>
      </c>
      <c r="P219" s="18"/>
      <c r="Q219" s="2" t="str">
        <f t="shared" si="58"/>
        <v>Imprimir</v>
      </c>
      <c r="R219" s="2"/>
      <c r="S219" s="2"/>
      <c r="T219" s="64"/>
      <c r="U219" s="18" t="s">
        <v>15</v>
      </c>
      <c r="V219" s="18" t="s">
        <v>15</v>
      </c>
      <c r="W219" s="18" t="str">
        <f t="shared" si="78"/>
        <v>CAP</v>
      </c>
      <c r="X219" s="18" t="str">
        <f t="shared" si="79"/>
        <v>. 208 - NC</v>
      </c>
      <c r="Y219" s="18"/>
      <c r="AA219" s="22">
        <v>0</v>
      </c>
      <c r="AB219" s="29" t="str">
        <f t="shared" si="76"/>
        <v>Cambió</v>
      </c>
      <c r="AC219" s="30" t="s">
        <v>37</v>
      </c>
      <c r="AD219" s="29" t="s">
        <v>33</v>
      </c>
      <c r="AE219" s="29" t="s">
        <v>33</v>
      </c>
      <c r="AF219" s="11" t="s">
        <v>72</v>
      </c>
      <c r="AG219" s="31"/>
      <c r="AH219" s="31"/>
    </row>
    <row r="220" spans="1:34" s="26" customFormat="1" ht="45" x14ac:dyDescent="0.25">
      <c r="A220" s="67">
        <v>209</v>
      </c>
      <c r="B220" s="82" t="s">
        <v>377</v>
      </c>
      <c r="C220" s="21" t="s">
        <v>579</v>
      </c>
      <c r="D220" s="22">
        <v>2000000</v>
      </c>
      <c r="E220" s="23" t="str">
        <f t="shared" si="64"/>
        <v>GUANAJUATO</v>
      </c>
      <c r="F220" s="23" t="str">
        <f t="shared" si="65"/>
        <v>SAN FELIPE</v>
      </c>
      <c r="G220" s="66" t="s">
        <v>368</v>
      </c>
      <c r="H220" s="85" t="str">
        <f t="shared" si="80"/>
        <v>611
METROS CUADRADOS</v>
      </c>
      <c r="I220" s="25">
        <f>ROUND((K220/10)*5,0)</f>
        <v>38</v>
      </c>
      <c r="J220" s="26">
        <f>ROUNDUP(D220/3275,0)</f>
        <v>611</v>
      </c>
      <c r="K220" s="26">
        <f>J220/8</f>
        <v>76.375</v>
      </c>
      <c r="L220" s="27">
        <v>44883</v>
      </c>
      <c r="M220" s="28" t="s">
        <v>26</v>
      </c>
      <c r="N220" s="26" t="str">
        <f t="shared" si="70"/>
        <v>Capturado</v>
      </c>
      <c r="O220" s="26" t="str">
        <f t="shared" si="69"/>
        <v>Capturado</v>
      </c>
      <c r="P220" s="18"/>
      <c r="Q220" s="2" t="str">
        <f t="shared" ref="Q220:Q300" si="81">IF(C220&lt;&gt;0,"Imprimir","")</f>
        <v>Imprimir</v>
      </c>
      <c r="R220" s="2"/>
      <c r="S220" s="2"/>
      <c r="T220" s="64"/>
      <c r="U220" s="18" t="s">
        <v>15</v>
      </c>
      <c r="V220" s="18" t="s">
        <v>15</v>
      </c>
      <c r="W220" s="18" t="str">
        <f t="shared" si="78"/>
        <v>CAP</v>
      </c>
      <c r="X220" s="18" t="str">
        <f t="shared" si="79"/>
        <v>. 209 - NC</v>
      </c>
      <c r="Y220" s="18"/>
      <c r="AA220" s="22">
        <v>0</v>
      </c>
      <c r="AB220" s="29" t="str">
        <f t="shared" si="76"/>
        <v>Cambió</v>
      </c>
      <c r="AC220" s="30" t="s">
        <v>37</v>
      </c>
      <c r="AD220" s="29" t="s">
        <v>33</v>
      </c>
      <c r="AE220" s="29" t="s">
        <v>33</v>
      </c>
      <c r="AF220" s="11" t="s">
        <v>72</v>
      </c>
      <c r="AG220" s="31"/>
      <c r="AH220" s="31"/>
    </row>
    <row r="221" spans="1:34" s="26" customFormat="1" ht="45" x14ac:dyDescent="0.25">
      <c r="A221" s="67">
        <v>210</v>
      </c>
      <c r="B221" s="82" t="s">
        <v>377</v>
      </c>
      <c r="C221" s="21" t="s">
        <v>580</v>
      </c>
      <c r="D221" s="22">
        <v>1500000</v>
      </c>
      <c r="E221" s="23" t="str">
        <f t="shared" si="64"/>
        <v>GUANAJUATO</v>
      </c>
      <c r="F221" s="23" t="str">
        <f t="shared" si="65"/>
        <v>SAN FELIPE</v>
      </c>
      <c r="G221" s="66" t="s">
        <v>365</v>
      </c>
      <c r="H221" s="85" t="str">
        <f t="shared" si="80"/>
        <v>459
METROS CUADRADOS</v>
      </c>
      <c r="I221" s="25">
        <f>ROUND((K221/10)*5,0)</f>
        <v>29</v>
      </c>
      <c r="J221" s="26">
        <f>ROUNDUP(D221/3275,0)</f>
        <v>459</v>
      </c>
      <c r="K221" s="26">
        <f>J221/8</f>
        <v>57.375</v>
      </c>
      <c r="L221" s="27">
        <v>44887</v>
      </c>
      <c r="M221" s="28" t="s">
        <v>26</v>
      </c>
      <c r="N221" s="26" t="str">
        <f t="shared" si="70"/>
        <v>Capturado</v>
      </c>
      <c r="O221" s="26" t="str">
        <f t="shared" si="69"/>
        <v>Capturado</v>
      </c>
      <c r="P221" s="18"/>
      <c r="Q221" s="2" t="str">
        <f t="shared" si="81"/>
        <v>Imprimir</v>
      </c>
      <c r="R221" s="2"/>
      <c r="S221" s="2"/>
      <c r="T221" s="64"/>
      <c r="U221" s="18" t="s">
        <v>15</v>
      </c>
      <c r="V221" s="18" t="s">
        <v>15</v>
      </c>
      <c r="W221" s="18" t="str">
        <f t="shared" si="78"/>
        <v>CAP</v>
      </c>
      <c r="X221" s="18" t="str">
        <f t="shared" si="79"/>
        <v>. 210 - NC</v>
      </c>
      <c r="Y221" s="18"/>
      <c r="AA221" s="22">
        <v>0</v>
      </c>
      <c r="AB221" s="29" t="str">
        <f t="shared" si="76"/>
        <v>Cambió</v>
      </c>
      <c r="AC221" s="30" t="s">
        <v>37</v>
      </c>
      <c r="AD221" s="29" t="s">
        <v>33</v>
      </c>
      <c r="AE221" s="29" t="s">
        <v>33</v>
      </c>
      <c r="AF221" s="11" t="s">
        <v>72</v>
      </c>
      <c r="AG221" s="31"/>
      <c r="AH221" s="31"/>
    </row>
    <row r="222" spans="1:34" s="26" customFormat="1" ht="60" x14ac:dyDescent="0.25">
      <c r="A222" s="82">
        <v>211</v>
      </c>
      <c r="B222" s="82" t="s">
        <v>377</v>
      </c>
      <c r="C222" s="21" t="s">
        <v>581</v>
      </c>
      <c r="D222" s="22">
        <v>1500000</v>
      </c>
      <c r="E222" s="23" t="str">
        <f t="shared" si="64"/>
        <v>GUANAJUATO</v>
      </c>
      <c r="F222" s="23" t="str">
        <f t="shared" si="65"/>
        <v>SAN FELIPE</v>
      </c>
      <c r="G222" s="66" t="s">
        <v>666</v>
      </c>
      <c r="H222" s="85" t="str">
        <f t="shared" si="80"/>
        <v>459
METROS CUADRADOS</v>
      </c>
      <c r="I222" s="25">
        <f>ROUND((K222/10)*5,0)</f>
        <v>29</v>
      </c>
      <c r="J222" s="26">
        <f>ROUNDUP(D222/3275,0)</f>
        <v>459</v>
      </c>
      <c r="K222" s="26">
        <f>J222/8</f>
        <v>57.375</v>
      </c>
      <c r="L222" s="27">
        <v>44887</v>
      </c>
      <c r="M222" s="28" t="s">
        <v>26</v>
      </c>
      <c r="N222" s="26" t="str">
        <f t="shared" si="70"/>
        <v>Capturado</v>
      </c>
      <c r="O222" s="26" t="str">
        <f t="shared" si="69"/>
        <v>Capturado</v>
      </c>
      <c r="P222" s="18"/>
      <c r="Q222" s="2" t="str">
        <f t="shared" si="81"/>
        <v>Imprimir</v>
      </c>
      <c r="R222" s="2"/>
      <c r="S222" s="2"/>
      <c r="T222" s="64"/>
      <c r="U222" s="18" t="s">
        <v>15</v>
      </c>
      <c r="V222" s="18" t="s">
        <v>15</v>
      </c>
      <c r="W222" s="18" t="str">
        <f t="shared" si="78"/>
        <v>CAP</v>
      </c>
      <c r="X222" s="18" t="str">
        <f t="shared" si="79"/>
        <v>. 211 - NC</v>
      </c>
      <c r="Y222" s="18"/>
      <c r="AA222" s="22">
        <v>0</v>
      </c>
      <c r="AB222" s="29" t="str">
        <f t="shared" si="76"/>
        <v>Cambió</v>
      </c>
      <c r="AC222" s="30" t="s">
        <v>37</v>
      </c>
      <c r="AD222" s="29" t="s">
        <v>33</v>
      </c>
      <c r="AE222" s="29" t="s">
        <v>33</v>
      </c>
      <c r="AF222" s="11" t="s">
        <v>72</v>
      </c>
      <c r="AG222" s="31"/>
      <c r="AH222" s="31"/>
    </row>
    <row r="223" spans="1:34" s="26" customFormat="1" ht="81.75" customHeight="1" x14ac:dyDescent="0.25">
      <c r="A223" s="82">
        <v>212</v>
      </c>
      <c r="B223" s="82" t="s">
        <v>377</v>
      </c>
      <c r="C223" s="21" t="s">
        <v>582</v>
      </c>
      <c r="D223" s="22">
        <v>2000000</v>
      </c>
      <c r="E223" s="23" t="str">
        <f t="shared" si="64"/>
        <v>GUANAJUATO</v>
      </c>
      <c r="F223" s="23" t="str">
        <f t="shared" si="65"/>
        <v>SAN FELIPE</v>
      </c>
      <c r="G223" s="66" t="s">
        <v>62</v>
      </c>
      <c r="H223" s="85" t="str">
        <f t="shared" si="80"/>
        <v>611
METROS CUADRADOS</v>
      </c>
      <c r="I223" s="25">
        <f>ROUND((K223/10)*5,0)</f>
        <v>38</v>
      </c>
      <c r="J223" s="26">
        <f>ROUNDUP(D223/3275,0)</f>
        <v>611</v>
      </c>
      <c r="K223" s="26">
        <f>J223/8</f>
        <v>76.375</v>
      </c>
      <c r="L223" s="27">
        <v>44887</v>
      </c>
      <c r="M223" s="28" t="s">
        <v>26</v>
      </c>
      <c r="N223" s="26" t="str">
        <f t="shared" si="70"/>
        <v>Capturado</v>
      </c>
      <c r="O223" s="26" t="str">
        <f t="shared" si="69"/>
        <v>Capturado</v>
      </c>
      <c r="P223" s="18"/>
      <c r="Q223" s="2" t="str">
        <f t="shared" si="81"/>
        <v>Imprimir</v>
      </c>
      <c r="R223" s="2"/>
      <c r="S223" s="2"/>
      <c r="T223" s="64"/>
      <c r="U223" s="18" t="s">
        <v>15</v>
      </c>
      <c r="V223" s="18" t="s">
        <v>15</v>
      </c>
      <c r="W223" s="18" t="str">
        <f t="shared" si="78"/>
        <v>CAP</v>
      </c>
      <c r="X223" s="18" t="str">
        <f t="shared" si="79"/>
        <v>. 212 - NC</v>
      </c>
      <c r="Y223" s="18"/>
      <c r="AA223" s="22">
        <v>0</v>
      </c>
      <c r="AB223" s="29" t="str">
        <f t="shared" si="76"/>
        <v>Cambió</v>
      </c>
      <c r="AC223" s="30" t="s">
        <v>37</v>
      </c>
      <c r="AD223" s="29" t="s">
        <v>33</v>
      </c>
      <c r="AE223" s="29" t="s">
        <v>33</v>
      </c>
      <c r="AF223" s="11" t="s">
        <v>72</v>
      </c>
      <c r="AG223" s="31"/>
      <c r="AH223" s="31"/>
    </row>
    <row r="224" spans="1:34" s="26" customFormat="1" ht="92.25" customHeight="1" x14ac:dyDescent="0.25">
      <c r="A224" s="82">
        <v>213</v>
      </c>
      <c r="B224" s="82" t="s">
        <v>377</v>
      </c>
      <c r="C224" s="21" t="s">
        <v>583</v>
      </c>
      <c r="D224" s="22">
        <v>1500000</v>
      </c>
      <c r="E224" s="23" t="str">
        <f t="shared" si="64"/>
        <v>GUANAJUATO</v>
      </c>
      <c r="F224" s="23" t="str">
        <f t="shared" si="65"/>
        <v>SAN FELIPE</v>
      </c>
      <c r="G224" s="80" t="s">
        <v>12</v>
      </c>
      <c r="H224" s="85" t="str">
        <f t="shared" si="80"/>
        <v>459
METROS CUADRADOS</v>
      </c>
      <c r="I224" s="25">
        <f>ROUND((K224/10)*5,0)</f>
        <v>29</v>
      </c>
      <c r="J224" s="26">
        <f>ROUNDUP(D224/3275,0)</f>
        <v>459</v>
      </c>
      <c r="K224" s="26">
        <f>J224/8</f>
        <v>57.375</v>
      </c>
      <c r="L224" s="27">
        <v>44887</v>
      </c>
      <c r="M224" s="28" t="s">
        <v>26</v>
      </c>
      <c r="N224" s="26" t="str">
        <f t="shared" si="70"/>
        <v>Capturado</v>
      </c>
      <c r="O224" s="26" t="str">
        <f t="shared" si="69"/>
        <v>Capturado</v>
      </c>
      <c r="P224" s="18"/>
      <c r="Q224" s="2" t="str">
        <f t="shared" si="81"/>
        <v>Imprimir</v>
      </c>
      <c r="R224" s="2"/>
      <c r="S224" s="2"/>
      <c r="T224" s="64"/>
      <c r="U224" s="18" t="s">
        <v>15</v>
      </c>
      <c r="V224" s="18" t="s">
        <v>15</v>
      </c>
      <c r="W224" s="18" t="str">
        <f t="shared" si="78"/>
        <v>CAP</v>
      </c>
      <c r="X224" s="18" t="str">
        <f t="shared" si="79"/>
        <v>. 213 - NC</v>
      </c>
      <c r="Y224" s="18"/>
      <c r="AA224" s="22">
        <v>0</v>
      </c>
      <c r="AB224" s="29" t="str">
        <f t="shared" si="76"/>
        <v>Cambió</v>
      </c>
      <c r="AC224" s="30" t="s">
        <v>37</v>
      </c>
      <c r="AD224" s="29" t="s">
        <v>33</v>
      </c>
      <c r="AE224" s="29" t="s">
        <v>33</v>
      </c>
      <c r="AF224" s="11" t="s">
        <v>72</v>
      </c>
      <c r="AG224" s="31"/>
      <c r="AH224" s="31"/>
    </row>
    <row r="225" spans="1:34" s="26" customFormat="1" ht="76.5" customHeight="1" x14ac:dyDescent="0.25">
      <c r="A225" s="82">
        <v>214</v>
      </c>
      <c r="B225" s="82" t="s">
        <v>377</v>
      </c>
      <c r="C225" s="21" t="s">
        <v>584</v>
      </c>
      <c r="D225" s="22">
        <v>1500000</v>
      </c>
      <c r="E225" s="23" t="str">
        <f t="shared" ref="E225:E229" si="82">IF(D225&gt;0,"GUANAJUATO","")</f>
        <v>GUANAJUATO</v>
      </c>
      <c r="F225" s="23" t="str">
        <f t="shared" ref="F225:F229" si="83">IF(D225&gt;0,"SAN FELIPE","")</f>
        <v>SAN FELIPE</v>
      </c>
      <c r="G225" s="80" t="s">
        <v>337</v>
      </c>
      <c r="H225" s="85" t="str">
        <f t="shared" ref="H225:H226" si="84">J225&amp;"
METROS CUADRADOS"</f>
        <v>459
METROS CUADRADOS</v>
      </c>
      <c r="I225" s="25">
        <f>ROUND((K225/10)*5,0)</f>
        <v>29</v>
      </c>
      <c r="J225" s="26">
        <f>ROUNDUP(D225/3275,0)</f>
        <v>459</v>
      </c>
      <c r="K225" s="26">
        <f>J225/8</f>
        <v>57.375</v>
      </c>
      <c r="L225" s="27">
        <v>44887</v>
      </c>
      <c r="M225" s="28" t="s">
        <v>26</v>
      </c>
      <c r="N225" s="26" t="str">
        <f t="shared" si="70"/>
        <v>Capturado</v>
      </c>
      <c r="O225" s="26" t="str">
        <f t="shared" si="69"/>
        <v>Capturado</v>
      </c>
      <c r="P225" s="18"/>
      <c r="Q225" s="2" t="str">
        <f t="shared" si="81"/>
        <v>Imprimir</v>
      </c>
      <c r="R225" s="2"/>
      <c r="S225" s="2"/>
      <c r="T225" s="64"/>
      <c r="U225" s="18" t="s">
        <v>15</v>
      </c>
      <c r="V225" s="18" t="s">
        <v>15</v>
      </c>
      <c r="W225" s="18" t="str">
        <f t="shared" ref="W225:W229" si="85">IF(L225="","","CAP")</f>
        <v>CAP</v>
      </c>
      <c r="X225" s="18" t="str">
        <f t="shared" ref="X225:X229" si="86">CONCATENATE($X$9,A225,$X$10,B225)</f>
        <v>. 214 - NC</v>
      </c>
      <c r="Y225" s="18"/>
      <c r="AA225" s="22">
        <v>0</v>
      </c>
      <c r="AB225" s="29" t="str">
        <f t="shared" ref="AB225:AB229" si="87">IF(D225&gt;0,IF(D225=AA225,"Sin Cambio","Cambió"),"")</f>
        <v>Cambió</v>
      </c>
      <c r="AC225" s="30" t="s">
        <v>37</v>
      </c>
      <c r="AD225" s="29" t="s">
        <v>33</v>
      </c>
      <c r="AE225" s="29" t="s">
        <v>33</v>
      </c>
      <c r="AF225" s="11" t="s">
        <v>72</v>
      </c>
      <c r="AG225" s="31"/>
      <c r="AH225" s="31"/>
    </row>
    <row r="226" spans="1:34" s="26" customFormat="1" ht="77.25" customHeight="1" x14ac:dyDescent="0.25">
      <c r="A226" s="82">
        <v>215</v>
      </c>
      <c r="B226" s="82" t="s">
        <v>377</v>
      </c>
      <c r="C226" s="21" t="s">
        <v>585</v>
      </c>
      <c r="D226" s="22">
        <v>1000000</v>
      </c>
      <c r="E226" s="23" t="str">
        <f t="shared" si="82"/>
        <v>GUANAJUATO</v>
      </c>
      <c r="F226" s="23" t="str">
        <f t="shared" si="83"/>
        <v>SAN FELIPE</v>
      </c>
      <c r="G226" s="79" t="s">
        <v>328</v>
      </c>
      <c r="H226" s="85" t="str">
        <f t="shared" si="84"/>
        <v>306
METROS CUADRADOS</v>
      </c>
      <c r="I226" s="25">
        <f>ROUND((K226/10)*5,0)</f>
        <v>19</v>
      </c>
      <c r="J226" s="26">
        <f>ROUNDUP(D226/3275,0)</f>
        <v>306</v>
      </c>
      <c r="K226" s="26">
        <f>J226/8</f>
        <v>38.25</v>
      </c>
      <c r="L226" s="27">
        <v>44887</v>
      </c>
      <c r="M226" s="28" t="s">
        <v>26</v>
      </c>
      <c r="N226" s="26" t="str">
        <f t="shared" si="70"/>
        <v>Capturado</v>
      </c>
      <c r="O226" s="26" t="str">
        <f t="shared" si="69"/>
        <v>Capturado</v>
      </c>
      <c r="P226" s="18"/>
      <c r="Q226" s="2" t="str">
        <f t="shared" si="81"/>
        <v>Imprimir</v>
      </c>
      <c r="R226" s="2"/>
      <c r="S226" s="2"/>
      <c r="T226" s="64"/>
      <c r="U226" s="18" t="s">
        <v>15</v>
      </c>
      <c r="V226" s="18" t="s">
        <v>15</v>
      </c>
      <c r="W226" s="18" t="str">
        <f t="shared" si="85"/>
        <v>CAP</v>
      </c>
      <c r="X226" s="18" t="str">
        <f t="shared" si="86"/>
        <v>. 215 - NC</v>
      </c>
      <c r="Y226" s="18"/>
      <c r="AA226" s="22">
        <v>0</v>
      </c>
      <c r="AB226" s="29" t="str">
        <f t="shared" si="87"/>
        <v>Cambió</v>
      </c>
      <c r="AC226" s="30" t="s">
        <v>37</v>
      </c>
      <c r="AD226" s="29" t="s">
        <v>33</v>
      </c>
      <c r="AE226" s="29" t="s">
        <v>33</v>
      </c>
      <c r="AF226" s="11" t="s">
        <v>72</v>
      </c>
      <c r="AG226" s="31"/>
      <c r="AH226" s="31"/>
    </row>
    <row r="227" spans="1:34" s="26" customFormat="1" ht="60" x14ac:dyDescent="0.25">
      <c r="A227" s="82">
        <v>216</v>
      </c>
      <c r="B227" s="82" t="s">
        <v>377</v>
      </c>
      <c r="C227" s="21" t="s">
        <v>586</v>
      </c>
      <c r="D227" s="22">
        <v>1500000</v>
      </c>
      <c r="E227" s="23" t="str">
        <f t="shared" si="82"/>
        <v>GUANAJUATO</v>
      </c>
      <c r="F227" s="23" t="str">
        <f t="shared" si="83"/>
        <v>SAN FELIPE</v>
      </c>
      <c r="G227" s="80" t="s">
        <v>222</v>
      </c>
      <c r="H227" s="85" t="str">
        <f t="shared" ref="H227:H230" si="88">J227&amp;"
METROS CUADRADOS"</f>
        <v>459
METROS CUADRADOS</v>
      </c>
      <c r="I227" s="25">
        <f>ROUND((K227/10)*5,0)</f>
        <v>29</v>
      </c>
      <c r="J227" s="26">
        <f>ROUNDUP(D227/3275,0)</f>
        <v>459</v>
      </c>
      <c r="K227" s="26">
        <f>J227/8</f>
        <v>57.375</v>
      </c>
      <c r="L227" s="27">
        <v>44887</v>
      </c>
      <c r="M227" s="28" t="s">
        <v>26</v>
      </c>
      <c r="N227" s="26" t="str">
        <f t="shared" ref="N227:N229" si="89">IF(G227&lt;&gt;0,"Capturado","")</f>
        <v>Capturado</v>
      </c>
      <c r="O227" s="26" t="str">
        <f t="shared" si="69"/>
        <v>Capturado</v>
      </c>
      <c r="P227" s="18"/>
      <c r="Q227" s="2" t="str">
        <f t="shared" si="81"/>
        <v>Imprimir</v>
      </c>
      <c r="R227" s="2"/>
      <c r="S227" s="2"/>
      <c r="T227" s="64"/>
      <c r="U227" s="18" t="s">
        <v>15</v>
      </c>
      <c r="V227" s="18" t="s">
        <v>15</v>
      </c>
      <c r="W227" s="18" t="str">
        <f t="shared" si="85"/>
        <v>CAP</v>
      </c>
      <c r="X227" s="18" t="str">
        <f t="shared" si="86"/>
        <v>. 216 - NC</v>
      </c>
      <c r="Y227" s="18"/>
      <c r="AA227" s="22">
        <v>0</v>
      </c>
      <c r="AB227" s="29" t="str">
        <f t="shared" si="87"/>
        <v>Cambió</v>
      </c>
      <c r="AC227" s="30" t="s">
        <v>37</v>
      </c>
      <c r="AD227" s="29" t="s">
        <v>33</v>
      </c>
      <c r="AE227" s="29" t="s">
        <v>33</v>
      </c>
      <c r="AF227" s="11" t="s">
        <v>72</v>
      </c>
      <c r="AG227" s="31"/>
      <c r="AH227" s="31"/>
    </row>
    <row r="228" spans="1:34" s="26" customFormat="1" ht="148.5" customHeight="1" x14ac:dyDescent="0.25">
      <c r="A228" s="82">
        <v>217</v>
      </c>
      <c r="B228" s="82" t="s">
        <v>377</v>
      </c>
      <c r="C228" s="21" t="s">
        <v>587</v>
      </c>
      <c r="D228" s="22">
        <v>4000000</v>
      </c>
      <c r="E228" s="23" t="str">
        <f t="shared" si="82"/>
        <v>GUANAJUATO</v>
      </c>
      <c r="F228" s="23" t="str">
        <f t="shared" si="83"/>
        <v>SAN FELIPE</v>
      </c>
      <c r="G228" s="66" t="s">
        <v>47</v>
      </c>
      <c r="H228" s="85" t="str">
        <f t="shared" si="88"/>
        <v>1222
METROS CUADRADOS</v>
      </c>
      <c r="I228" s="25">
        <f>ROUND((K228/10)*5,0)</f>
        <v>76</v>
      </c>
      <c r="J228" s="26">
        <f>ROUNDUP(D228/3275,0)</f>
        <v>1222</v>
      </c>
      <c r="K228" s="26">
        <f>J228/8</f>
        <v>152.75</v>
      </c>
      <c r="L228" s="27">
        <v>44887</v>
      </c>
      <c r="M228" s="28" t="s">
        <v>26</v>
      </c>
      <c r="N228" s="26" t="str">
        <f t="shared" si="89"/>
        <v>Capturado</v>
      </c>
      <c r="O228" s="26" t="str">
        <f t="shared" si="69"/>
        <v>Capturado</v>
      </c>
      <c r="P228" s="18"/>
      <c r="Q228" s="2" t="str">
        <f t="shared" si="81"/>
        <v>Imprimir</v>
      </c>
      <c r="R228" s="2"/>
      <c r="S228" s="2"/>
      <c r="T228" s="64"/>
      <c r="U228" s="18" t="s">
        <v>15</v>
      </c>
      <c r="V228" s="18" t="s">
        <v>15</v>
      </c>
      <c r="W228" s="18" t="str">
        <f t="shared" si="85"/>
        <v>CAP</v>
      </c>
      <c r="X228" s="18" t="str">
        <f t="shared" si="86"/>
        <v>. 217 - NC</v>
      </c>
      <c r="Y228" s="18"/>
      <c r="AA228" s="22">
        <v>0</v>
      </c>
      <c r="AB228" s="29" t="str">
        <f t="shared" si="87"/>
        <v>Cambió</v>
      </c>
      <c r="AC228" s="30" t="s">
        <v>37</v>
      </c>
      <c r="AD228" s="29" t="s">
        <v>33</v>
      </c>
      <c r="AE228" s="29" t="s">
        <v>33</v>
      </c>
      <c r="AF228" s="11" t="s">
        <v>72</v>
      </c>
      <c r="AG228" s="31"/>
      <c r="AH228" s="31"/>
    </row>
    <row r="229" spans="1:34" s="26" customFormat="1" ht="45" x14ac:dyDescent="0.25">
      <c r="A229" s="82">
        <v>218</v>
      </c>
      <c r="B229" s="82" t="s">
        <v>377</v>
      </c>
      <c r="C229" s="21" t="s">
        <v>588</v>
      </c>
      <c r="D229" s="22">
        <v>1500000</v>
      </c>
      <c r="E229" s="23" t="str">
        <f t="shared" si="82"/>
        <v>GUANAJUATO</v>
      </c>
      <c r="F229" s="23" t="str">
        <f t="shared" si="83"/>
        <v>SAN FELIPE</v>
      </c>
      <c r="G229" s="66" t="s">
        <v>372</v>
      </c>
      <c r="H229" s="85" t="str">
        <f t="shared" si="88"/>
        <v>459
METROS CUADRADOS</v>
      </c>
      <c r="I229" s="25">
        <f>ROUND((K229/10)*5,0)</f>
        <v>29</v>
      </c>
      <c r="J229" s="26">
        <f>ROUNDUP(D229/3275,0)</f>
        <v>459</v>
      </c>
      <c r="K229" s="26">
        <f>J229/8</f>
        <v>57.375</v>
      </c>
      <c r="L229" s="27">
        <v>44887</v>
      </c>
      <c r="M229" s="28" t="s">
        <v>26</v>
      </c>
      <c r="N229" s="26" t="str">
        <f t="shared" si="89"/>
        <v>Capturado</v>
      </c>
      <c r="O229" s="26" t="str">
        <f t="shared" si="69"/>
        <v>Capturado</v>
      </c>
      <c r="P229" s="18"/>
      <c r="Q229" s="2" t="str">
        <f t="shared" si="81"/>
        <v>Imprimir</v>
      </c>
      <c r="R229" s="2"/>
      <c r="S229" s="2"/>
      <c r="T229" s="64"/>
      <c r="U229" s="18" t="s">
        <v>15</v>
      </c>
      <c r="V229" s="18" t="s">
        <v>15</v>
      </c>
      <c r="W229" s="18" t="str">
        <f t="shared" si="85"/>
        <v>CAP</v>
      </c>
      <c r="X229" s="18" t="str">
        <f t="shared" si="86"/>
        <v>. 218 - NC</v>
      </c>
      <c r="Y229" s="18"/>
      <c r="AA229" s="22">
        <v>0</v>
      </c>
      <c r="AB229" s="29" t="str">
        <f t="shared" si="87"/>
        <v>Cambió</v>
      </c>
      <c r="AC229" s="30" t="s">
        <v>37</v>
      </c>
      <c r="AD229" s="29" t="s">
        <v>33</v>
      </c>
      <c r="AE229" s="29" t="s">
        <v>33</v>
      </c>
      <c r="AF229" s="11" t="s">
        <v>72</v>
      </c>
      <c r="AG229" s="31"/>
      <c r="AH229" s="31"/>
    </row>
    <row r="230" spans="1:34" s="26" customFormat="1" ht="45" x14ac:dyDescent="0.25">
      <c r="A230" s="82">
        <v>219</v>
      </c>
      <c r="B230" s="82" t="s">
        <v>377</v>
      </c>
      <c r="C230" s="21" t="s">
        <v>589</v>
      </c>
      <c r="D230" s="22">
        <v>2500000</v>
      </c>
      <c r="E230" s="23" t="str">
        <f t="shared" ref="E230" si="90">IF(D230&gt;0,"GUANAJUATO","")</f>
        <v>GUANAJUATO</v>
      </c>
      <c r="F230" s="23" t="str">
        <f t="shared" ref="F230" si="91">IF(D230&gt;0,"SAN FELIPE","")</f>
        <v>SAN FELIPE</v>
      </c>
      <c r="G230" s="81" t="s">
        <v>221</v>
      </c>
      <c r="H230" s="85" t="str">
        <f t="shared" si="88"/>
        <v>764
METROS CUADRADOS</v>
      </c>
      <c r="I230" s="25">
        <f>ROUND((K230/10)*5,0)</f>
        <v>48</v>
      </c>
      <c r="J230" s="26">
        <f>ROUNDUP(D230/3275,0)</f>
        <v>764</v>
      </c>
      <c r="K230" s="26">
        <f>J230/8</f>
        <v>95.5</v>
      </c>
      <c r="L230" s="27">
        <v>44887</v>
      </c>
      <c r="M230" s="28" t="s">
        <v>26</v>
      </c>
      <c r="N230" s="26" t="str">
        <f t="shared" ref="N230" si="92">IF(G230&lt;&gt;0,"Capturado","")</f>
        <v>Capturado</v>
      </c>
      <c r="O230" s="26" t="str">
        <f t="shared" ref="O230" si="93">IF(H230&lt;&gt;0,"Capturado","")</f>
        <v>Capturado</v>
      </c>
      <c r="P230" s="18"/>
      <c r="Q230" s="2" t="str">
        <f t="shared" ref="Q230:Q258" si="94">IF(C230&lt;&gt;0,"Imprimir","")</f>
        <v>Imprimir</v>
      </c>
      <c r="R230" s="2"/>
      <c r="S230" s="2"/>
      <c r="T230" s="64"/>
      <c r="U230" s="18" t="s">
        <v>15</v>
      </c>
      <c r="V230" s="18" t="s">
        <v>15</v>
      </c>
      <c r="W230" s="18" t="str">
        <f t="shared" ref="W230" si="95">IF(L230="","","CAP")</f>
        <v>CAP</v>
      </c>
      <c r="X230" s="18" t="str">
        <f t="shared" ref="X230" si="96">CONCATENATE($X$9,A230,$X$10,B230)</f>
        <v>. 219 - NC</v>
      </c>
      <c r="Y230" s="18"/>
      <c r="AA230" s="22">
        <v>0</v>
      </c>
      <c r="AB230" s="29" t="str">
        <f t="shared" ref="AB230" si="97">IF(D230&gt;0,IF(D230=AA230,"Sin Cambio","Cambió"),"")</f>
        <v>Cambió</v>
      </c>
      <c r="AC230" s="30" t="s">
        <v>37</v>
      </c>
      <c r="AD230" s="29" t="s">
        <v>33</v>
      </c>
      <c r="AE230" s="29" t="s">
        <v>33</v>
      </c>
      <c r="AF230" s="11" t="s">
        <v>72</v>
      </c>
      <c r="AG230" s="31"/>
      <c r="AH230" s="31"/>
    </row>
    <row r="231" spans="1:34" s="26" customFormat="1" ht="60" x14ac:dyDescent="0.25">
      <c r="A231" s="82">
        <v>220</v>
      </c>
      <c r="B231" s="82" t="s">
        <v>377</v>
      </c>
      <c r="C231" s="21" t="s">
        <v>590</v>
      </c>
      <c r="D231" s="22">
        <v>2000000</v>
      </c>
      <c r="E231" s="23" t="str">
        <f t="shared" ref="E231:E247" si="98">IF(D231&gt;0,"GUANAJUATO","")</f>
        <v>GUANAJUATO</v>
      </c>
      <c r="F231" s="23" t="str">
        <f t="shared" ref="F231:F247" si="99">IF(D231&gt;0,"SAN FELIPE","")</f>
        <v>SAN FELIPE</v>
      </c>
      <c r="G231" s="81" t="s">
        <v>348</v>
      </c>
      <c r="H231" s="81" t="str">
        <f t="shared" ref="H231" si="100">J231&amp;"
METROS LINEALES"</f>
        <v>224
METROS LINEALES</v>
      </c>
      <c r="I231" s="25">
        <v>1246</v>
      </c>
      <c r="J231" s="26">
        <f>ROUNDUP(D231/8950,0)</f>
        <v>224</v>
      </c>
      <c r="K231" s="26" t="b">
        <f>EXACT(C231,'[1]Presupuesto Egresos POA 2023'!P2229)</f>
        <v>0</v>
      </c>
      <c r="L231" s="27">
        <v>44887</v>
      </c>
      <c r="M231" s="28" t="s">
        <v>26</v>
      </c>
      <c r="N231" s="26" t="str">
        <f t="shared" ref="N231:N247" si="101">IF(G231&lt;&gt;0,"Capturado","")</f>
        <v>Capturado</v>
      </c>
      <c r="O231" s="26" t="str">
        <f t="shared" ref="O231:O247" si="102">IF(H231&lt;&gt;0,"Capturado","")</f>
        <v>Capturado</v>
      </c>
      <c r="P231" s="18"/>
      <c r="Q231" s="2" t="str">
        <f t="shared" ref="Q231:Q247" si="103">IF(C231&lt;&gt;0,"Imprimir","")</f>
        <v>Imprimir</v>
      </c>
      <c r="R231" s="2"/>
      <c r="S231" s="2"/>
      <c r="T231" s="64"/>
      <c r="U231" s="18" t="s">
        <v>15</v>
      </c>
      <c r="V231" s="18" t="s">
        <v>15</v>
      </c>
      <c r="W231" s="18" t="str">
        <f t="shared" ref="W231:W247" si="104">IF(L231="","","CAP")</f>
        <v>CAP</v>
      </c>
      <c r="X231" s="18" t="str">
        <f t="shared" ref="X231:X247" si="105">CONCATENATE($X$9,A231,$X$10,B231)</f>
        <v>. 220 - NC</v>
      </c>
      <c r="Y231" s="18"/>
      <c r="AA231" s="22">
        <v>0</v>
      </c>
      <c r="AB231" s="29" t="str">
        <f t="shared" ref="AB231:AB247" si="106">IF(D231&gt;0,IF(D231=AA231,"Sin Cambio","Cambió"),"")</f>
        <v>Cambió</v>
      </c>
      <c r="AC231" s="30" t="s">
        <v>37</v>
      </c>
      <c r="AD231" s="29" t="s">
        <v>33</v>
      </c>
      <c r="AE231" s="29" t="s">
        <v>33</v>
      </c>
      <c r="AF231" s="11" t="s">
        <v>72</v>
      </c>
      <c r="AG231" s="31"/>
      <c r="AH231" s="31"/>
    </row>
    <row r="232" spans="1:34" s="26" customFormat="1" ht="60" x14ac:dyDescent="0.25">
      <c r="A232" s="82">
        <v>221</v>
      </c>
      <c r="B232" s="82" t="s">
        <v>377</v>
      </c>
      <c r="C232" s="21" t="s">
        <v>591</v>
      </c>
      <c r="D232" s="22">
        <v>2000000</v>
      </c>
      <c r="E232" s="23" t="str">
        <f t="shared" si="98"/>
        <v>GUANAJUATO</v>
      </c>
      <c r="F232" s="23" t="str">
        <f t="shared" si="99"/>
        <v>SAN FELIPE</v>
      </c>
      <c r="G232" s="81" t="s">
        <v>326</v>
      </c>
      <c r="H232" s="81" t="str">
        <f t="shared" ref="H232:H246" si="107">J232&amp;"
METROS LINEALES"</f>
        <v>224
METROS LINEALES</v>
      </c>
      <c r="I232" s="25">
        <v>892</v>
      </c>
      <c r="J232" s="26">
        <f t="shared" ref="J232:J246" si="108">ROUNDUP(D232/8950,0)</f>
        <v>224</v>
      </c>
      <c r="K232" s="26" t="b">
        <f>EXACT(C232,'[1]Presupuesto Egresos POA 2023'!P2230)</f>
        <v>0</v>
      </c>
      <c r="L232" s="27">
        <v>44887</v>
      </c>
      <c r="M232" s="28" t="s">
        <v>26</v>
      </c>
      <c r="N232" s="26" t="str">
        <f t="shared" si="101"/>
        <v>Capturado</v>
      </c>
      <c r="O232" s="26" t="str">
        <f t="shared" si="102"/>
        <v>Capturado</v>
      </c>
      <c r="P232" s="18"/>
      <c r="Q232" s="2" t="str">
        <f t="shared" si="103"/>
        <v>Imprimir</v>
      </c>
      <c r="R232" s="2"/>
      <c r="S232" s="2"/>
      <c r="T232" s="64"/>
      <c r="U232" s="18" t="s">
        <v>15</v>
      </c>
      <c r="V232" s="18" t="s">
        <v>15</v>
      </c>
      <c r="W232" s="18" t="str">
        <f t="shared" si="104"/>
        <v>CAP</v>
      </c>
      <c r="X232" s="18" t="str">
        <f t="shared" si="105"/>
        <v>. 221 - NC</v>
      </c>
      <c r="Y232" s="18"/>
      <c r="AA232" s="22">
        <v>0</v>
      </c>
      <c r="AB232" s="29" t="str">
        <f t="shared" si="106"/>
        <v>Cambió</v>
      </c>
      <c r="AC232" s="30" t="s">
        <v>37</v>
      </c>
      <c r="AD232" s="29" t="s">
        <v>33</v>
      </c>
      <c r="AE232" s="29" t="s">
        <v>33</v>
      </c>
      <c r="AF232" s="11" t="s">
        <v>72</v>
      </c>
      <c r="AG232" s="31"/>
      <c r="AH232" s="31"/>
    </row>
    <row r="233" spans="1:34" s="26" customFormat="1" ht="60" x14ac:dyDescent="0.25">
      <c r="A233" s="82">
        <v>222</v>
      </c>
      <c r="B233" s="82" t="s">
        <v>377</v>
      </c>
      <c r="C233" s="21" t="s">
        <v>592</v>
      </c>
      <c r="D233" s="22">
        <v>2000000</v>
      </c>
      <c r="E233" s="23" t="str">
        <f t="shared" si="98"/>
        <v>GUANAJUATO</v>
      </c>
      <c r="F233" s="23" t="str">
        <f t="shared" si="99"/>
        <v>SAN FELIPE</v>
      </c>
      <c r="G233" s="81" t="s">
        <v>341</v>
      </c>
      <c r="H233" s="81" t="str">
        <f t="shared" si="107"/>
        <v>224
METROS LINEALES</v>
      </c>
      <c r="I233" s="25">
        <v>448</v>
      </c>
      <c r="J233" s="26">
        <f t="shared" si="108"/>
        <v>224</v>
      </c>
      <c r="K233" s="26" t="b">
        <f>EXACT(C233,'[1]Presupuesto Egresos POA 2023'!P2231)</f>
        <v>0</v>
      </c>
      <c r="L233" s="27">
        <v>44887</v>
      </c>
      <c r="M233" s="28" t="s">
        <v>26</v>
      </c>
      <c r="N233" s="26" t="str">
        <f t="shared" si="101"/>
        <v>Capturado</v>
      </c>
      <c r="O233" s="26" t="str">
        <f t="shared" si="102"/>
        <v>Capturado</v>
      </c>
      <c r="P233" s="18"/>
      <c r="Q233" s="2" t="str">
        <f t="shared" si="103"/>
        <v>Imprimir</v>
      </c>
      <c r="R233" s="2"/>
      <c r="S233" s="2"/>
      <c r="T233" s="64"/>
      <c r="U233" s="18" t="s">
        <v>15</v>
      </c>
      <c r="V233" s="18" t="s">
        <v>15</v>
      </c>
      <c r="W233" s="18" t="str">
        <f t="shared" si="104"/>
        <v>CAP</v>
      </c>
      <c r="X233" s="18" t="str">
        <f t="shared" si="105"/>
        <v>. 222 - NC</v>
      </c>
      <c r="Y233" s="18"/>
      <c r="AA233" s="22">
        <v>0</v>
      </c>
      <c r="AB233" s="29" t="str">
        <f t="shared" si="106"/>
        <v>Cambió</v>
      </c>
      <c r="AC233" s="30" t="s">
        <v>37</v>
      </c>
      <c r="AD233" s="29" t="s">
        <v>33</v>
      </c>
      <c r="AE233" s="29" t="s">
        <v>33</v>
      </c>
      <c r="AF233" s="11" t="s">
        <v>72</v>
      </c>
      <c r="AG233" s="31"/>
      <c r="AH233" s="31"/>
    </row>
    <row r="234" spans="1:34" s="26" customFormat="1" ht="60" x14ac:dyDescent="0.25">
      <c r="A234" s="82">
        <v>223</v>
      </c>
      <c r="B234" s="82" t="s">
        <v>377</v>
      </c>
      <c r="C234" s="21" t="s">
        <v>593</v>
      </c>
      <c r="D234" s="22">
        <v>2000000</v>
      </c>
      <c r="E234" s="23" t="str">
        <f t="shared" si="98"/>
        <v>GUANAJUATO</v>
      </c>
      <c r="F234" s="23" t="str">
        <f t="shared" si="99"/>
        <v>SAN FELIPE</v>
      </c>
      <c r="G234" s="81" t="s">
        <v>667</v>
      </c>
      <c r="H234" s="81" t="str">
        <f t="shared" si="107"/>
        <v>224
METROS LINEALES</v>
      </c>
      <c r="I234" s="25">
        <v>286</v>
      </c>
      <c r="J234" s="26">
        <f t="shared" si="108"/>
        <v>224</v>
      </c>
      <c r="K234" s="26" t="b">
        <f>EXACT(C234,'[1]Presupuesto Egresos POA 2023'!P2232)</f>
        <v>0</v>
      </c>
      <c r="L234" s="27">
        <v>44887</v>
      </c>
      <c r="M234" s="28" t="s">
        <v>26</v>
      </c>
      <c r="N234" s="26" t="str">
        <f t="shared" si="101"/>
        <v>Capturado</v>
      </c>
      <c r="O234" s="26" t="str">
        <f t="shared" si="102"/>
        <v>Capturado</v>
      </c>
      <c r="P234" s="18"/>
      <c r="Q234" s="2" t="str">
        <f t="shared" si="103"/>
        <v>Imprimir</v>
      </c>
      <c r="R234" s="2"/>
      <c r="S234" s="2"/>
      <c r="T234" s="64"/>
      <c r="U234" s="18" t="s">
        <v>15</v>
      </c>
      <c r="V234" s="18" t="s">
        <v>15</v>
      </c>
      <c r="W234" s="18" t="str">
        <f t="shared" si="104"/>
        <v>CAP</v>
      </c>
      <c r="X234" s="18" t="str">
        <f t="shared" si="105"/>
        <v>. 223 - NC</v>
      </c>
      <c r="Y234" s="18"/>
      <c r="AA234" s="22">
        <v>0</v>
      </c>
      <c r="AB234" s="29" t="str">
        <f t="shared" si="106"/>
        <v>Cambió</v>
      </c>
      <c r="AC234" s="30" t="s">
        <v>37</v>
      </c>
      <c r="AD234" s="29" t="s">
        <v>33</v>
      </c>
      <c r="AE234" s="29" t="s">
        <v>33</v>
      </c>
      <c r="AF234" s="11" t="s">
        <v>72</v>
      </c>
      <c r="AG234" s="31"/>
      <c r="AH234" s="31"/>
    </row>
    <row r="235" spans="1:34" s="26" customFormat="1" ht="60" x14ac:dyDescent="0.25">
      <c r="A235" s="82">
        <v>224</v>
      </c>
      <c r="B235" s="82" t="s">
        <v>377</v>
      </c>
      <c r="C235" s="21" t="s">
        <v>594</v>
      </c>
      <c r="D235" s="22">
        <v>2000000</v>
      </c>
      <c r="E235" s="23" t="str">
        <f t="shared" si="98"/>
        <v>GUANAJUATO</v>
      </c>
      <c r="F235" s="23" t="str">
        <f t="shared" si="99"/>
        <v>SAN FELIPE</v>
      </c>
      <c r="G235" s="81" t="s">
        <v>374</v>
      </c>
      <c r="H235" s="81" t="str">
        <f t="shared" si="107"/>
        <v>224
METROS LINEALES</v>
      </c>
      <c r="I235" s="25">
        <v>326</v>
      </c>
      <c r="J235" s="26">
        <f t="shared" si="108"/>
        <v>224</v>
      </c>
      <c r="K235" s="26" t="b">
        <f>EXACT(C235,'[1]Presupuesto Egresos POA 2023'!P2233)</f>
        <v>0</v>
      </c>
      <c r="L235" s="27">
        <v>44887</v>
      </c>
      <c r="M235" s="28" t="s">
        <v>26</v>
      </c>
      <c r="N235" s="26" t="str">
        <f t="shared" si="101"/>
        <v>Capturado</v>
      </c>
      <c r="O235" s="26" t="str">
        <f t="shared" si="102"/>
        <v>Capturado</v>
      </c>
      <c r="P235" s="18"/>
      <c r="Q235" s="2" t="str">
        <f t="shared" si="103"/>
        <v>Imprimir</v>
      </c>
      <c r="R235" s="2"/>
      <c r="S235" s="2"/>
      <c r="T235" s="64"/>
      <c r="U235" s="18" t="s">
        <v>15</v>
      </c>
      <c r="V235" s="18" t="s">
        <v>15</v>
      </c>
      <c r="W235" s="18" t="str">
        <f t="shared" si="104"/>
        <v>CAP</v>
      </c>
      <c r="X235" s="18" t="str">
        <f t="shared" si="105"/>
        <v>. 224 - NC</v>
      </c>
      <c r="Y235" s="18"/>
      <c r="AA235" s="22">
        <v>0</v>
      </c>
      <c r="AB235" s="29" t="str">
        <f t="shared" si="106"/>
        <v>Cambió</v>
      </c>
      <c r="AC235" s="30" t="s">
        <v>37</v>
      </c>
      <c r="AD235" s="29" t="s">
        <v>33</v>
      </c>
      <c r="AE235" s="29" t="s">
        <v>33</v>
      </c>
      <c r="AF235" s="11" t="s">
        <v>72</v>
      </c>
      <c r="AG235" s="31"/>
      <c r="AH235" s="31"/>
    </row>
    <row r="236" spans="1:34" s="26" customFormat="1" ht="60" x14ac:dyDescent="0.25">
      <c r="A236" s="82">
        <v>225</v>
      </c>
      <c r="B236" s="82" t="s">
        <v>377</v>
      </c>
      <c r="C236" s="21" t="s">
        <v>595</v>
      </c>
      <c r="D236" s="22">
        <v>3600000</v>
      </c>
      <c r="E236" s="23" t="str">
        <f t="shared" si="98"/>
        <v>GUANAJUATO</v>
      </c>
      <c r="F236" s="23" t="str">
        <f t="shared" si="99"/>
        <v>SAN FELIPE</v>
      </c>
      <c r="G236" s="81" t="s">
        <v>359</v>
      </c>
      <c r="H236" s="81" t="str">
        <f t="shared" si="107"/>
        <v>403
METROS LINEALES</v>
      </c>
      <c r="I236" s="25">
        <v>469</v>
      </c>
      <c r="J236" s="26">
        <f t="shared" si="108"/>
        <v>403</v>
      </c>
      <c r="K236" s="26" t="b">
        <f>EXACT(C236,'[1]Presupuesto Egresos POA 2023'!P2234)</f>
        <v>0</v>
      </c>
      <c r="L236" s="27">
        <v>44887</v>
      </c>
      <c r="M236" s="28" t="s">
        <v>26</v>
      </c>
      <c r="N236" s="26" t="str">
        <f t="shared" si="101"/>
        <v>Capturado</v>
      </c>
      <c r="O236" s="26" t="str">
        <f t="shared" si="102"/>
        <v>Capturado</v>
      </c>
      <c r="P236" s="18"/>
      <c r="Q236" s="2" t="str">
        <f t="shared" si="103"/>
        <v>Imprimir</v>
      </c>
      <c r="R236" s="2"/>
      <c r="S236" s="2"/>
      <c r="T236" s="64"/>
      <c r="U236" s="18" t="s">
        <v>15</v>
      </c>
      <c r="V236" s="18" t="s">
        <v>15</v>
      </c>
      <c r="W236" s="18" t="str">
        <f t="shared" si="104"/>
        <v>CAP</v>
      </c>
      <c r="X236" s="18" t="str">
        <f t="shared" si="105"/>
        <v>. 225 - NC</v>
      </c>
      <c r="Y236" s="18"/>
      <c r="AA236" s="22">
        <v>0</v>
      </c>
      <c r="AB236" s="29" t="str">
        <f t="shared" si="106"/>
        <v>Cambió</v>
      </c>
      <c r="AC236" s="30" t="s">
        <v>37</v>
      </c>
      <c r="AD236" s="29" t="s">
        <v>33</v>
      </c>
      <c r="AE236" s="29" t="s">
        <v>33</v>
      </c>
      <c r="AF236" s="11" t="s">
        <v>72</v>
      </c>
      <c r="AG236" s="31"/>
      <c r="AH236" s="31"/>
    </row>
    <row r="237" spans="1:34" s="26" customFormat="1" ht="75" x14ac:dyDescent="0.25">
      <c r="A237" s="82">
        <v>226</v>
      </c>
      <c r="B237" s="82" t="s">
        <v>377</v>
      </c>
      <c r="C237" s="21" t="s">
        <v>596</v>
      </c>
      <c r="D237" s="22">
        <v>1000000</v>
      </c>
      <c r="E237" s="23" t="str">
        <f t="shared" si="98"/>
        <v>GUANAJUATO</v>
      </c>
      <c r="F237" s="23" t="str">
        <f t="shared" si="99"/>
        <v>SAN FELIPE</v>
      </c>
      <c r="G237" s="81" t="s">
        <v>618</v>
      </c>
      <c r="H237" s="81" t="str">
        <f t="shared" si="107"/>
        <v>112
METROS LINEALES</v>
      </c>
      <c r="I237" s="25">
        <v>166</v>
      </c>
      <c r="J237" s="26">
        <f t="shared" si="108"/>
        <v>112</v>
      </c>
      <c r="K237" s="26" t="b">
        <f>EXACT(C237,'[1]Presupuesto Egresos POA 2023'!P2235)</f>
        <v>0</v>
      </c>
      <c r="L237" s="27">
        <v>44887</v>
      </c>
      <c r="M237" s="28" t="s">
        <v>26</v>
      </c>
      <c r="N237" s="26" t="str">
        <f t="shared" si="101"/>
        <v>Capturado</v>
      </c>
      <c r="O237" s="26" t="str">
        <f t="shared" si="102"/>
        <v>Capturado</v>
      </c>
      <c r="P237" s="18"/>
      <c r="Q237" s="2" t="str">
        <f t="shared" si="103"/>
        <v>Imprimir</v>
      </c>
      <c r="R237" s="2"/>
      <c r="S237" s="2"/>
      <c r="T237" s="64"/>
      <c r="U237" s="18" t="s">
        <v>15</v>
      </c>
      <c r="V237" s="18" t="s">
        <v>15</v>
      </c>
      <c r="W237" s="18" t="str">
        <f t="shared" si="104"/>
        <v>CAP</v>
      </c>
      <c r="X237" s="18" t="str">
        <f t="shared" si="105"/>
        <v>. 226 - NC</v>
      </c>
      <c r="Y237" s="18"/>
      <c r="AA237" s="22">
        <v>0</v>
      </c>
      <c r="AB237" s="29" t="str">
        <f t="shared" si="106"/>
        <v>Cambió</v>
      </c>
      <c r="AC237" s="30" t="s">
        <v>37</v>
      </c>
      <c r="AD237" s="29" t="s">
        <v>33</v>
      </c>
      <c r="AE237" s="29" t="s">
        <v>33</v>
      </c>
      <c r="AF237" s="11" t="s">
        <v>72</v>
      </c>
      <c r="AG237" s="31"/>
      <c r="AH237" s="31"/>
    </row>
    <row r="238" spans="1:34" s="26" customFormat="1" ht="60" x14ac:dyDescent="0.25">
      <c r="A238" s="82">
        <v>227</v>
      </c>
      <c r="B238" s="82" t="s">
        <v>377</v>
      </c>
      <c r="C238" s="21" t="s">
        <v>597</v>
      </c>
      <c r="D238" s="22">
        <v>2000000</v>
      </c>
      <c r="E238" s="23" t="str">
        <f t="shared" si="98"/>
        <v>GUANAJUATO</v>
      </c>
      <c r="F238" s="23" t="str">
        <f t="shared" si="99"/>
        <v>SAN FELIPE</v>
      </c>
      <c r="G238" s="81" t="s">
        <v>370</v>
      </c>
      <c r="H238" s="81" t="str">
        <f t="shared" si="107"/>
        <v>224
METROS LINEALES</v>
      </c>
      <c r="I238" s="25">
        <v>347</v>
      </c>
      <c r="J238" s="26">
        <f t="shared" si="108"/>
        <v>224</v>
      </c>
      <c r="K238" s="26" t="b">
        <f>EXACT(C238,'[1]Presupuesto Egresos POA 2023'!P2236)</f>
        <v>0</v>
      </c>
      <c r="L238" s="27">
        <v>44887</v>
      </c>
      <c r="M238" s="28" t="s">
        <v>26</v>
      </c>
      <c r="N238" s="26" t="str">
        <f t="shared" si="101"/>
        <v>Capturado</v>
      </c>
      <c r="O238" s="26" t="str">
        <f t="shared" si="102"/>
        <v>Capturado</v>
      </c>
      <c r="P238" s="18"/>
      <c r="Q238" s="2" t="str">
        <f t="shared" si="103"/>
        <v>Imprimir</v>
      </c>
      <c r="R238" s="2"/>
      <c r="S238" s="2"/>
      <c r="T238" s="64"/>
      <c r="U238" s="18" t="s">
        <v>15</v>
      </c>
      <c r="V238" s="18" t="s">
        <v>15</v>
      </c>
      <c r="W238" s="18" t="str">
        <f t="shared" si="104"/>
        <v>CAP</v>
      </c>
      <c r="X238" s="18" t="str">
        <f t="shared" si="105"/>
        <v>. 227 - NC</v>
      </c>
      <c r="Y238" s="18"/>
      <c r="AA238" s="22">
        <v>0</v>
      </c>
      <c r="AB238" s="29" t="str">
        <f t="shared" si="106"/>
        <v>Cambió</v>
      </c>
      <c r="AC238" s="30" t="s">
        <v>37</v>
      </c>
      <c r="AD238" s="29" t="s">
        <v>33</v>
      </c>
      <c r="AE238" s="29" t="s">
        <v>33</v>
      </c>
      <c r="AF238" s="11" t="s">
        <v>72</v>
      </c>
      <c r="AG238" s="31"/>
      <c r="AH238" s="31"/>
    </row>
    <row r="239" spans="1:34" s="26" customFormat="1" ht="60" x14ac:dyDescent="0.25">
      <c r="A239" s="82">
        <v>228</v>
      </c>
      <c r="B239" s="82" t="s">
        <v>377</v>
      </c>
      <c r="C239" s="21" t="s">
        <v>598</v>
      </c>
      <c r="D239" s="22">
        <v>1000000</v>
      </c>
      <c r="E239" s="23" t="str">
        <f t="shared" si="98"/>
        <v>GUANAJUATO</v>
      </c>
      <c r="F239" s="23" t="str">
        <f t="shared" si="99"/>
        <v>SAN FELIPE</v>
      </c>
      <c r="G239" s="81" t="s">
        <v>355</v>
      </c>
      <c r="H239" s="81" t="str">
        <f t="shared" si="107"/>
        <v>112
METROS LINEALES</v>
      </c>
      <c r="I239" s="25">
        <v>245</v>
      </c>
      <c r="J239" s="26">
        <f t="shared" si="108"/>
        <v>112</v>
      </c>
      <c r="K239" s="26" t="b">
        <f>EXACT(C239,'[1]Presupuesto Egresos POA 2023'!P2237)</f>
        <v>0</v>
      </c>
      <c r="L239" s="27">
        <v>44887</v>
      </c>
      <c r="M239" s="28" t="s">
        <v>26</v>
      </c>
      <c r="N239" s="26" t="str">
        <f t="shared" si="101"/>
        <v>Capturado</v>
      </c>
      <c r="O239" s="26" t="str">
        <f t="shared" si="102"/>
        <v>Capturado</v>
      </c>
      <c r="P239" s="18"/>
      <c r="Q239" s="2" t="str">
        <f t="shared" si="103"/>
        <v>Imprimir</v>
      </c>
      <c r="R239" s="2"/>
      <c r="S239" s="2"/>
      <c r="T239" s="64"/>
      <c r="U239" s="18" t="s">
        <v>15</v>
      </c>
      <c r="V239" s="18" t="s">
        <v>15</v>
      </c>
      <c r="W239" s="18" t="str">
        <f t="shared" si="104"/>
        <v>CAP</v>
      </c>
      <c r="X239" s="18" t="str">
        <f t="shared" si="105"/>
        <v>. 228 - NC</v>
      </c>
      <c r="Y239" s="18"/>
      <c r="AA239" s="22">
        <v>0</v>
      </c>
      <c r="AB239" s="29" t="str">
        <f t="shared" si="106"/>
        <v>Cambió</v>
      </c>
      <c r="AC239" s="30" t="s">
        <v>37</v>
      </c>
      <c r="AD239" s="29" t="s">
        <v>33</v>
      </c>
      <c r="AE239" s="29" t="s">
        <v>33</v>
      </c>
      <c r="AF239" s="11" t="s">
        <v>72</v>
      </c>
      <c r="AG239" s="31"/>
      <c r="AH239" s="31"/>
    </row>
    <row r="240" spans="1:34" s="26" customFormat="1" ht="60" x14ac:dyDescent="0.25">
      <c r="A240" s="82">
        <v>229</v>
      </c>
      <c r="B240" s="82" t="s">
        <v>377</v>
      </c>
      <c r="C240" s="21" t="s">
        <v>599</v>
      </c>
      <c r="D240" s="22">
        <v>1000000</v>
      </c>
      <c r="E240" s="23" t="str">
        <f t="shared" si="98"/>
        <v>GUANAJUATO</v>
      </c>
      <c r="F240" s="23" t="str">
        <f t="shared" si="99"/>
        <v>SAN FELIPE</v>
      </c>
      <c r="G240" s="81" t="s">
        <v>668</v>
      </c>
      <c r="H240" s="81" t="str">
        <f t="shared" si="107"/>
        <v>112
METROS LINEALES</v>
      </c>
      <c r="I240" s="25">
        <v>212</v>
      </c>
      <c r="J240" s="26">
        <f t="shared" si="108"/>
        <v>112</v>
      </c>
      <c r="K240" s="26" t="b">
        <f>EXACT(C240,'[1]Presupuesto Egresos POA 2023'!P2238)</f>
        <v>0</v>
      </c>
      <c r="L240" s="27">
        <v>44887</v>
      </c>
      <c r="M240" s="28" t="s">
        <v>26</v>
      </c>
      <c r="N240" s="26" t="str">
        <f t="shared" si="101"/>
        <v>Capturado</v>
      </c>
      <c r="O240" s="26" t="str">
        <f t="shared" si="102"/>
        <v>Capturado</v>
      </c>
      <c r="P240" s="18"/>
      <c r="Q240" s="2" t="str">
        <f t="shared" si="103"/>
        <v>Imprimir</v>
      </c>
      <c r="R240" s="2"/>
      <c r="S240" s="2"/>
      <c r="T240" s="64"/>
      <c r="U240" s="18" t="s">
        <v>15</v>
      </c>
      <c r="V240" s="18" t="s">
        <v>15</v>
      </c>
      <c r="W240" s="18" t="str">
        <f t="shared" si="104"/>
        <v>CAP</v>
      </c>
      <c r="X240" s="18" t="str">
        <f t="shared" si="105"/>
        <v>. 229 - NC</v>
      </c>
      <c r="Y240" s="18"/>
      <c r="AA240" s="22">
        <v>0</v>
      </c>
      <c r="AB240" s="29" t="str">
        <f t="shared" si="106"/>
        <v>Cambió</v>
      </c>
      <c r="AC240" s="30" t="s">
        <v>37</v>
      </c>
      <c r="AD240" s="29" t="s">
        <v>33</v>
      </c>
      <c r="AE240" s="29" t="s">
        <v>33</v>
      </c>
      <c r="AF240" s="11" t="s">
        <v>72</v>
      </c>
      <c r="AG240" s="31"/>
      <c r="AH240" s="31"/>
    </row>
    <row r="241" spans="1:34" s="26" customFormat="1" ht="60" x14ac:dyDescent="0.25">
      <c r="A241" s="82">
        <v>230</v>
      </c>
      <c r="B241" s="82" t="s">
        <v>377</v>
      </c>
      <c r="C241" s="21" t="s">
        <v>600</v>
      </c>
      <c r="D241" s="22">
        <v>1000000</v>
      </c>
      <c r="E241" s="23" t="str">
        <f t="shared" si="98"/>
        <v>GUANAJUATO</v>
      </c>
      <c r="F241" s="23" t="str">
        <f t="shared" si="99"/>
        <v>SAN FELIPE</v>
      </c>
      <c r="G241" s="81" t="s">
        <v>663</v>
      </c>
      <c r="H241" s="81" t="str">
        <f t="shared" si="107"/>
        <v>112
METROS LINEALES</v>
      </c>
      <c r="I241" s="25">
        <v>214</v>
      </c>
      <c r="J241" s="26">
        <f t="shared" si="108"/>
        <v>112</v>
      </c>
      <c r="K241" s="26" t="b">
        <f>EXACT(C241,'[1]Presupuesto Egresos POA 2023'!P2239)</f>
        <v>0</v>
      </c>
      <c r="L241" s="27">
        <v>44887</v>
      </c>
      <c r="M241" s="28" t="s">
        <v>26</v>
      </c>
      <c r="N241" s="26" t="str">
        <f t="shared" si="101"/>
        <v>Capturado</v>
      </c>
      <c r="O241" s="26" t="str">
        <f t="shared" si="102"/>
        <v>Capturado</v>
      </c>
      <c r="P241" s="18"/>
      <c r="Q241" s="2" t="str">
        <f t="shared" si="103"/>
        <v>Imprimir</v>
      </c>
      <c r="R241" s="2"/>
      <c r="S241" s="2"/>
      <c r="T241" s="64"/>
      <c r="U241" s="18" t="s">
        <v>15</v>
      </c>
      <c r="V241" s="18" t="s">
        <v>15</v>
      </c>
      <c r="W241" s="18" t="str">
        <f t="shared" si="104"/>
        <v>CAP</v>
      </c>
      <c r="X241" s="18" t="str">
        <f t="shared" si="105"/>
        <v>. 230 - NC</v>
      </c>
      <c r="Y241" s="18"/>
      <c r="AA241" s="22">
        <v>0</v>
      </c>
      <c r="AB241" s="29" t="str">
        <f t="shared" si="106"/>
        <v>Cambió</v>
      </c>
      <c r="AC241" s="30" t="s">
        <v>37</v>
      </c>
      <c r="AD241" s="29" t="s">
        <v>33</v>
      </c>
      <c r="AE241" s="29" t="s">
        <v>33</v>
      </c>
      <c r="AF241" s="11" t="s">
        <v>72</v>
      </c>
      <c r="AG241" s="31"/>
      <c r="AH241" s="31"/>
    </row>
    <row r="242" spans="1:34" s="26" customFormat="1" ht="60" x14ac:dyDescent="0.25">
      <c r="A242" s="82">
        <v>231</v>
      </c>
      <c r="B242" s="82" t="s">
        <v>377</v>
      </c>
      <c r="C242" s="21" t="s">
        <v>601</v>
      </c>
      <c r="D242" s="22">
        <v>1000000</v>
      </c>
      <c r="E242" s="23" t="str">
        <f t="shared" si="98"/>
        <v>GUANAJUATO</v>
      </c>
      <c r="F242" s="23" t="str">
        <f t="shared" si="99"/>
        <v>SAN FELIPE</v>
      </c>
      <c r="G242" s="81" t="s">
        <v>633</v>
      </c>
      <c r="H242" s="81" t="str">
        <f t="shared" si="107"/>
        <v>112
METROS LINEALES</v>
      </c>
      <c r="I242" s="25">
        <v>309</v>
      </c>
      <c r="J242" s="26">
        <f t="shared" si="108"/>
        <v>112</v>
      </c>
      <c r="K242" s="26" t="b">
        <f>EXACT(C242,'[1]Presupuesto Egresos POA 2023'!P2240)</f>
        <v>0</v>
      </c>
      <c r="L242" s="27">
        <v>44887</v>
      </c>
      <c r="M242" s="28" t="s">
        <v>26</v>
      </c>
      <c r="N242" s="26" t="str">
        <f t="shared" si="101"/>
        <v>Capturado</v>
      </c>
      <c r="O242" s="26" t="str">
        <f t="shared" si="102"/>
        <v>Capturado</v>
      </c>
      <c r="P242" s="18"/>
      <c r="Q242" s="2" t="str">
        <f t="shared" si="103"/>
        <v>Imprimir</v>
      </c>
      <c r="R242" s="2"/>
      <c r="S242" s="2"/>
      <c r="T242" s="64"/>
      <c r="U242" s="18" t="s">
        <v>15</v>
      </c>
      <c r="V242" s="18" t="s">
        <v>15</v>
      </c>
      <c r="W242" s="18" t="str">
        <f t="shared" si="104"/>
        <v>CAP</v>
      </c>
      <c r="X242" s="18" t="str">
        <f t="shared" si="105"/>
        <v>. 231 - NC</v>
      </c>
      <c r="Y242" s="18"/>
      <c r="AA242" s="22">
        <v>0</v>
      </c>
      <c r="AB242" s="29" t="str">
        <f t="shared" si="106"/>
        <v>Cambió</v>
      </c>
      <c r="AC242" s="30" t="s">
        <v>37</v>
      </c>
      <c r="AD242" s="29" t="s">
        <v>33</v>
      </c>
      <c r="AE242" s="29" t="s">
        <v>33</v>
      </c>
      <c r="AF242" s="11" t="s">
        <v>72</v>
      </c>
      <c r="AG242" s="31"/>
      <c r="AH242" s="31"/>
    </row>
    <row r="243" spans="1:34" s="26" customFormat="1" ht="45" x14ac:dyDescent="0.25">
      <c r="A243" s="82">
        <v>232</v>
      </c>
      <c r="B243" s="82" t="s">
        <v>377</v>
      </c>
      <c r="C243" s="21" t="s">
        <v>602</v>
      </c>
      <c r="D243" s="22">
        <v>2000000</v>
      </c>
      <c r="E243" s="23" t="str">
        <f t="shared" si="98"/>
        <v>GUANAJUATO</v>
      </c>
      <c r="F243" s="23" t="str">
        <f t="shared" si="99"/>
        <v>SAN FELIPE</v>
      </c>
      <c r="G243" s="81" t="s">
        <v>639</v>
      </c>
      <c r="H243" s="81" t="str">
        <f t="shared" si="107"/>
        <v>224
METROS LINEALES</v>
      </c>
      <c r="I243" s="25">
        <v>737</v>
      </c>
      <c r="J243" s="26">
        <f t="shared" si="108"/>
        <v>224</v>
      </c>
      <c r="K243" s="26" t="b">
        <f>EXACT(C243,'[1]Presupuesto Egresos POA 2023'!P2241)</f>
        <v>0</v>
      </c>
      <c r="L243" s="27">
        <v>44887</v>
      </c>
      <c r="M243" s="28" t="s">
        <v>26</v>
      </c>
      <c r="N243" s="26" t="str">
        <f t="shared" si="101"/>
        <v>Capturado</v>
      </c>
      <c r="O243" s="26" t="str">
        <f t="shared" si="102"/>
        <v>Capturado</v>
      </c>
      <c r="P243" s="18"/>
      <c r="Q243" s="2" t="str">
        <f t="shared" si="103"/>
        <v>Imprimir</v>
      </c>
      <c r="R243" s="2"/>
      <c r="S243" s="2"/>
      <c r="T243" s="64"/>
      <c r="U243" s="18" t="s">
        <v>15</v>
      </c>
      <c r="V243" s="18" t="s">
        <v>15</v>
      </c>
      <c r="W243" s="18" t="str">
        <f t="shared" si="104"/>
        <v>CAP</v>
      </c>
      <c r="X243" s="18" t="str">
        <f t="shared" si="105"/>
        <v>. 232 - NC</v>
      </c>
      <c r="Y243" s="18"/>
      <c r="AA243" s="22">
        <v>0</v>
      </c>
      <c r="AB243" s="29" t="str">
        <f t="shared" si="106"/>
        <v>Cambió</v>
      </c>
      <c r="AC243" s="30" t="s">
        <v>37</v>
      </c>
      <c r="AD243" s="29" t="s">
        <v>33</v>
      </c>
      <c r="AE243" s="29" t="s">
        <v>33</v>
      </c>
      <c r="AF243" s="11" t="s">
        <v>72</v>
      </c>
      <c r="AG243" s="31"/>
      <c r="AH243" s="31"/>
    </row>
    <row r="244" spans="1:34" s="26" customFormat="1" ht="60" x14ac:dyDescent="0.25">
      <c r="A244" s="82">
        <v>233</v>
      </c>
      <c r="B244" s="82" t="s">
        <v>377</v>
      </c>
      <c r="C244" s="21" t="s">
        <v>603</v>
      </c>
      <c r="D244" s="22">
        <v>2000000</v>
      </c>
      <c r="E244" s="23" t="str">
        <f t="shared" si="98"/>
        <v>GUANAJUATO</v>
      </c>
      <c r="F244" s="23" t="str">
        <f t="shared" si="99"/>
        <v>SAN FELIPE</v>
      </c>
      <c r="G244" s="81" t="s">
        <v>651</v>
      </c>
      <c r="H244" s="81" t="str">
        <f t="shared" si="107"/>
        <v>224
METROS LINEALES</v>
      </c>
      <c r="I244" s="25">
        <v>419</v>
      </c>
      <c r="J244" s="26">
        <f t="shared" si="108"/>
        <v>224</v>
      </c>
      <c r="K244" s="26" t="b">
        <f>EXACT(C244,'[1]Presupuesto Egresos POA 2023'!P2242)</f>
        <v>0</v>
      </c>
      <c r="L244" s="27">
        <v>44887</v>
      </c>
      <c r="M244" s="28" t="s">
        <v>26</v>
      </c>
      <c r="N244" s="26" t="str">
        <f t="shared" si="101"/>
        <v>Capturado</v>
      </c>
      <c r="O244" s="26" t="str">
        <f t="shared" si="102"/>
        <v>Capturado</v>
      </c>
      <c r="P244" s="18"/>
      <c r="Q244" s="2" t="str">
        <f t="shared" si="103"/>
        <v>Imprimir</v>
      </c>
      <c r="R244" s="2"/>
      <c r="S244" s="2"/>
      <c r="T244" s="64"/>
      <c r="U244" s="18" t="s">
        <v>15</v>
      </c>
      <c r="V244" s="18" t="s">
        <v>15</v>
      </c>
      <c r="W244" s="18" t="str">
        <f t="shared" si="104"/>
        <v>CAP</v>
      </c>
      <c r="X244" s="18" t="str">
        <f t="shared" si="105"/>
        <v>. 233 - NC</v>
      </c>
      <c r="Y244" s="18"/>
      <c r="AA244" s="22">
        <v>0</v>
      </c>
      <c r="AB244" s="29" t="str">
        <f t="shared" si="106"/>
        <v>Cambió</v>
      </c>
      <c r="AC244" s="30" t="s">
        <v>37</v>
      </c>
      <c r="AD244" s="29" t="s">
        <v>33</v>
      </c>
      <c r="AE244" s="29" t="s">
        <v>33</v>
      </c>
      <c r="AF244" s="11" t="s">
        <v>72</v>
      </c>
      <c r="AG244" s="31"/>
      <c r="AH244" s="31"/>
    </row>
    <row r="245" spans="1:34" s="26" customFormat="1" ht="60" x14ac:dyDescent="0.25">
      <c r="A245" s="82">
        <v>234</v>
      </c>
      <c r="B245" s="82" t="s">
        <v>377</v>
      </c>
      <c r="C245" s="21" t="s">
        <v>604</v>
      </c>
      <c r="D245" s="22">
        <v>2000000</v>
      </c>
      <c r="E245" s="23" t="str">
        <f t="shared" si="98"/>
        <v>GUANAJUATO</v>
      </c>
      <c r="F245" s="23" t="str">
        <f t="shared" si="99"/>
        <v>SAN FELIPE</v>
      </c>
      <c r="G245" s="81" t="s">
        <v>391</v>
      </c>
      <c r="H245" s="81" t="str">
        <f t="shared" si="107"/>
        <v>224
METROS LINEALES</v>
      </c>
      <c r="I245" s="25">
        <v>407</v>
      </c>
      <c r="J245" s="26">
        <f t="shared" si="108"/>
        <v>224</v>
      </c>
      <c r="K245" s="26" t="b">
        <f>EXACT(C245,'[1]Presupuesto Egresos POA 2023'!P2243)</f>
        <v>0</v>
      </c>
      <c r="L245" s="27">
        <v>44887</v>
      </c>
      <c r="M245" s="28" t="s">
        <v>26</v>
      </c>
      <c r="N245" s="26" t="str">
        <f t="shared" si="101"/>
        <v>Capturado</v>
      </c>
      <c r="O245" s="26" t="str">
        <f t="shared" si="102"/>
        <v>Capturado</v>
      </c>
      <c r="P245" s="18"/>
      <c r="Q245" s="2" t="str">
        <f t="shared" si="103"/>
        <v>Imprimir</v>
      </c>
      <c r="R245" s="2"/>
      <c r="S245" s="2"/>
      <c r="T245" s="64"/>
      <c r="U245" s="18" t="s">
        <v>15</v>
      </c>
      <c r="V245" s="18" t="s">
        <v>15</v>
      </c>
      <c r="W245" s="18" t="str">
        <f t="shared" si="104"/>
        <v>CAP</v>
      </c>
      <c r="X245" s="18" t="str">
        <f t="shared" si="105"/>
        <v>. 234 - NC</v>
      </c>
      <c r="Y245" s="18"/>
      <c r="AA245" s="22">
        <v>0</v>
      </c>
      <c r="AB245" s="29" t="str">
        <f t="shared" si="106"/>
        <v>Cambió</v>
      </c>
      <c r="AC245" s="30" t="s">
        <v>37</v>
      </c>
      <c r="AD245" s="29" t="s">
        <v>33</v>
      </c>
      <c r="AE245" s="29" t="s">
        <v>33</v>
      </c>
      <c r="AF245" s="11" t="s">
        <v>72</v>
      </c>
      <c r="AG245" s="31"/>
      <c r="AH245" s="31"/>
    </row>
    <row r="246" spans="1:34" s="26" customFormat="1" ht="45" x14ac:dyDescent="0.25">
      <c r="A246" s="82">
        <v>235</v>
      </c>
      <c r="B246" s="82" t="s">
        <v>377</v>
      </c>
      <c r="C246" s="21" t="s">
        <v>605</v>
      </c>
      <c r="D246" s="22">
        <v>1000000</v>
      </c>
      <c r="E246" s="23" t="str">
        <f t="shared" si="98"/>
        <v>GUANAJUATO</v>
      </c>
      <c r="F246" s="23" t="str">
        <f t="shared" si="99"/>
        <v>SAN FELIPE</v>
      </c>
      <c r="G246" s="81" t="s">
        <v>346</v>
      </c>
      <c r="H246" s="81" t="str">
        <f t="shared" si="107"/>
        <v>112
METROS LINEALES</v>
      </c>
      <c r="I246" s="25">
        <v>135</v>
      </c>
      <c r="J246" s="26">
        <f t="shared" si="108"/>
        <v>112</v>
      </c>
      <c r="K246" s="26" t="b">
        <f>EXACT(C246,'[1]Presupuesto Egresos POA 2023'!P2244)</f>
        <v>0</v>
      </c>
      <c r="L246" s="27">
        <v>44887</v>
      </c>
      <c r="M246" s="28" t="s">
        <v>26</v>
      </c>
      <c r="N246" s="26" t="str">
        <f t="shared" si="101"/>
        <v>Capturado</v>
      </c>
      <c r="O246" s="26" t="str">
        <f t="shared" si="102"/>
        <v>Capturado</v>
      </c>
      <c r="P246" s="18"/>
      <c r="Q246" s="2" t="str">
        <f t="shared" si="103"/>
        <v>Imprimir</v>
      </c>
      <c r="R246" s="2"/>
      <c r="S246" s="2"/>
      <c r="T246" s="64"/>
      <c r="U246" s="18" t="s">
        <v>15</v>
      </c>
      <c r="V246" s="18" t="s">
        <v>15</v>
      </c>
      <c r="W246" s="18" t="str">
        <f t="shared" si="104"/>
        <v>CAP</v>
      </c>
      <c r="X246" s="18" t="str">
        <f t="shared" si="105"/>
        <v>. 235 - NC</v>
      </c>
      <c r="Y246" s="18"/>
      <c r="AA246" s="22">
        <v>0</v>
      </c>
      <c r="AB246" s="29" t="str">
        <f t="shared" si="106"/>
        <v>Cambió</v>
      </c>
      <c r="AC246" s="30" t="s">
        <v>37</v>
      </c>
      <c r="AD246" s="29" t="s">
        <v>33</v>
      </c>
      <c r="AE246" s="29" t="s">
        <v>33</v>
      </c>
      <c r="AF246" s="11" t="s">
        <v>72</v>
      </c>
      <c r="AG246" s="31"/>
      <c r="AH246" s="31"/>
    </row>
    <row r="247" spans="1:34" s="26" customFormat="1" ht="60" x14ac:dyDescent="0.25">
      <c r="A247" s="82">
        <v>236</v>
      </c>
      <c r="B247" s="82" t="s">
        <v>377</v>
      </c>
      <c r="C247" s="21" t="s">
        <v>606</v>
      </c>
      <c r="D247" s="22">
        <v>1955545</v>
      </c>
      <c r="E247" s="23" t="str">
        <f t="shared" si="98"/>
        <v>GUANAJUATO</v>
      </c>
      <c r="F247" s="23" t="str">
        <f t="shared" si="99"/>
        <v>SAN FELIPE</v>
      </c>
      <c r="G247" s="81" t="s">
        <v>610</v>
      </c>
      <c r="H247" s="85" t="str">
        <f t="shared" ref="H247" si="109">J247&amp;"
METROS CUADRADOS"</f>
        <v>598
METROS CUADRADOS</v>
      </c>
      <c r="I247" s="25">
        <f>ROUND((K247/10)*5,0)</f>
        <v>37</v>
      </c>
      <c r="J247" s="26">
        <f>ROUNDUP(D247/3275,0)</f>
        <v>598</v>
      </c>
      <c r="K247" s="26">
        <f>J247/8</f>
        <v>74.75</v>
      </c>
      <c r="L247" s="27">
        <v>44887</v>
      </c>
      <c r="M247" s="28" t="s">
        <v>26</v>
      </c>
      <c r="N247" s="26" t="str">
        <f t="shared" si="101"/>
        <v>Capturado</v>
      </c>
      <c r="O247" s="26" t="str">
        <f t="shared" si="102"/>
        <v>Capturado</v>
      </c>
      <c r="P247" s="18"/>
      <c r="Q247" s="2" t="str">
        <f t="shared" si="103"/>
        <v>Imprimir</v>
      </c>
      <c r="R247" s="2"/>
      <c r="S247" s="2"/>
      <c r="T247" s="64"/>
      <c r="U247" s="18" t="s">
        <v>15</v>
      </c>
      <c r="V247" s="18" t="s">
        <v>15</v>
      </c>
      <c r="W247" s="18" t="str">
        <f t="shared" si="104"/>
        <v>CAP</v>
      </c>
      <c r="X247" s="18" t="str">
        <f t="shared" si="105"/>
        <v>. 236 - NC</v>
      </c>
      <c r="Y247" s="18"/>
      <c r="AA247" s="22">
        <v>0</v>
      </c>
      <c r="AB247" s="29" t="str">
        <f t="shared" si="106"/>
        <v>Cambió</v>
      </c>
      <c r="AC247" s="30" t="s">
        <v>37</v>
      </c>
      <c r="AD247" s="29" t="s">
        <v>33</v>
      </c>
      <c r="AE247" s="29" t="s">
        <v>33</v>
      </c>
      <c r="AF247" s="11" t="s">
        <v>72</v>
      </c>
      <c r="AG247" s="31"/>
      <c r="AH247" s="31"/>
    </row>
    <row r="248" spans="1:34" s="26" customFormat="1" ht="81.75" hidden="1" customHeight="1" x14ac:dyDescent="0.25">
      <c r="A248" s="82"/>
      <c r="B248" s="82"/>
      <c r="C248" s="21"/>
      <c r="D248" s="22"/>
      <c r="E248" s="23"/>
      <c r="F248" s="23"/>
      <c r="G248" s="81"/>
      <c r="H248" s="81"/>
      <c r="I248" s="25"/>
      <c r="L248" s="27"/>
      <c r="M248" s="28"/>
      <c r="P248" s="18"/>
      <c r="Q248" s="2" t="str">
        <f t="shared" si="94"/>
        <v/>
      </c>
      <c r="R248" s="2"/>
      <c r="S248" s="2"/>
      <c r="T248" s="64"/>
      <c r="U248" s="18"/>
      <c r="V248" s="18"/>
      <c r="W248" s="18"/>
      <c r="X248" s="18"/>
      <c r="Y248" s="18"/>
      <c r="AA248" s="22"/>
      <c r="AB248" s="29"/>
      <c r="AC248" s="30"/>
      <c r="AD248" s="29"/>
      <c r="AE248" s="29"/>
      <c r="AF248" s="11"/>
      <c r="AG248" s="31"/>
      <c r="AH248" s="31"/>
    </row>
    <row r="249" spans="1:34" s="26" customFormat="1" ht="70.5" hidden="1" customHeight="1" x14ac:dyDescent="0.25">
      <c r="A249" s="82"/>
      <c r="B249" s="82"/>
      <c r="C249" s="21"/>
      <c r="D249" s="22"/>
      <c r="E249" s="23"/>
      <c r="F249" s="23"/>
      <c r="G249" s="81"/>
      <c r="H249" s="81"/>
      <c r="I249" s="25"/>
      <c r="L249" s="27"/>
      <c r="M249" s="28"/>
      <c r="P249" s="18"/>
      <c r="Q249" s="2" t="str">
        <f t="shared" si="94"/>
        <v/>
      </c>
      <c r="R249" s="2"/>
      <c r="S249" s="2"/>
      <c r="T249" s="64"/>
      <c r="U249" s="18"/>
      <c r="V249" s="18"/>
      <c r="W249" s="18"/>
      <c r="X249" s="18"/>
      <c r="Y249" s="18"/>
      <c r="AA249" s="22"/>
      <c r="AB249" s="29"/>
      <c r="AC249" s="30"/>
      <c r="AD249" s="29"/>
      <c r="AE249" s="29"/>
      <c r="AF249" s="11"/>
      <c r="AG249" s="31"/>
      <c r="AH249" s="31"/>
    </row>
    <row r="250" spans="1:34" s="26" customFormat="1" hidden="1" x14ac:dyDescent="0.25">
      <c r="A250" s="82"/>
      <c r="B250" s="82"/>
      <c r="C250" s="21"/>
      <c r="D250" s="22"/>
      <c r="E250" s="23"/>
      <c r="F250" s="23"/>
      <c r="G250" s="81"/>
      <c r="H250" s="81"/>
      <c r="I250" s="25"/>
      <c r="L250" s="27"/>
      <c r="M250" s="28"/>
      <c r="P250" s="18"/>
      <c r="Q250" s="2" t="str">
        <f t="shared" si="94"/>
        <v/>
      </c>
      <c r="R250" s="2"/>
      <c r="S250" s="2"/>
      <c r="T250" s="64"/>
      <c r="U250" s="18"/>
      <c r="V250" s="18"/>
      <c r="W250" s="18"/>
      <c r="X250" s="18"/>
      <c r="Y250" s="18"/>
      <c r="AA250" s="22"/>
      <c r="AB250" s="29"/>
      <c r="AC250" s="30"/>
      <c r="AD250" s="29"/>
      <c r="AE250" s="29"/>
      <c r="AF250" s="11"/>
      <c r="AG250" s="31"/>
      <c r="AH250" s="31"/>
    </row>
    <row r="251" spans="1:34" s="26" customFormat="1" hidden="1" x14ac:dyDescent="0.25">
      <c r="A251" s="82"/>
      <c r="B251" s="82"/>
      <c r="C251" s="21"/>
      <c r="D251" s="22"/>
      <c r="E251" s="23"/>
      <c r="F251" s="23"/>
      <c r="G251" s="81"/>
      <c r="H251" s="81"/>
      <c r="I251" s="25"/>
      <c r="L251" s="27"/>
      <c r="M251" s="28"/>
      <c r="P251" s="18"/>
      <c r="Q251" s="2" t="str">
        <f t="shared" si="94"/>
        <v/>
      </c>
      <c r="R251" s="2"/>
      <c r="S251" s="2"/>
      <c r="T251" s="64"/>
      <c r="U251" s="18"/>
      <c r="V251" s="18"/>
      <c r="W251" s="18"/>
      <c r="X251" s="18"/>
      <c r="Y251" s="18"/>
      <c r="AA251" s="22"/>
      <c r="AB251" s="29"/>
      <c r="AC251" s="30"/>
      <c r="AD251" s="29"/>
      <c r="AE251" s="29"/>
      <c r="AF251" s="11"/>
      <c r="AG251" s="31"/>
      <c r="AH251" s="31"/>
    </row>
    <row r="252" spans="1:34" s="26" customFormat="1" hidden="1" x14ac:dyDescent="0.25">
      <c r="A252" s="82"/>
      <c r="B252" s="82"/>
      <c r="C252" s="21"/>
      <c r="D252" s="22"/>
      <c r="E252" s="23"/>
      <c r="F252" s="23"/>
      <c r="G252" s="81"/>
      <c r="H252" s="81"/>
      <c r="I252" s="25"/>
      <c r="L252" s="27"/>
      <c r="M252" s="28"/>
      <c r="P252" s="18"/>
      <c r="Q252" s="2" t="str">
        <f t="shared" si="94"/>
        <v/>
      </c>
      <c r="R252" s="2"/>
      <c r="S252" s="2"/>
      <c r="T252" s="2"/>
      <c r="U252" s="18"/>
      <c r="V252" s="18"/>
      <c r="W252" s="18"/>
      <c r="X252" s="18"/>
      <c r="Y252" s="18"/>
      <c r="AA252" s="22"/>
      <c r="AB252" s="29"/>
      <c r="AC252" s="30"/>
      <c r="AD252" s="29"/>
      <c r="AE252" s="29"/>
      <c r="AF252" s="11"/>
      <c r="AG252" s="31"/>
      <c r="AH252" s="31"/>
    </row>
    <row r="253" spans="1:34" s="26" customFormat="1" hidden="1" x14ac:dyDescent="0.25">
      <c r="A253" s="82"/>
      <c r="B253" s="82"/>
      <c r="C253" s="21"/>
      <c r="D253" s="22"/>
      <c r="E253" s="23"/>
      <c r="F253" s="23"/>
      <c r="G253" s="81"/>
      <c r="H253" s="81"/>
      <c r="I253" s="25"/>
      <c r="L253" s="27"/>
      <c r="M253" s="28"/>
      <c r="P253" s="18"/>
      <c r="Q253" s="2" t="str">
        <f t="shared" si="94"/>
        <v/>
      </c>
      <c r="R253" s="2"/>
      <c r="S253" s="2"/>
      <c r="T253" s="2"/>
      <c r="U253" s="18"/>
      <c r="V253" s="18"/>
      <c r="W253" s="18"/>
      <c r="X253" s="18"/>
      <c r="Y253" s="18"/>
      <c r="AA253" s="22"/>
      <c r="AB253" s="29"/>
      <c r="AC253" s="30"/>
      <c r="AD253" s="29"/>
      <c r="AE253" s="29"/>
      <c r="AF253" s="11"/>
      <c r="AG253" s="31"/>
      <c r="AH253" s="31"/>
    </row>
    <row r="254" spans="1:34" s="26" customFormat="1" hidden="1" x14ac:dyDescent="0.25">
      <c r="A254" s="82"/>
      <c r="B254" s="82"/>
      <c r="C254" s="21"/>
      <c r="D254" s="22"/>
      <c r="E254" s="23"/>
      <c r="F254" s="23"/>
      <c r="G254" s="81"/>
      <c r="H254" s="81"/>
      <c r="I254" s="25"/>
      <c r="L254" s="27"/>
      <c r="M254" s="28"/>
      <c r="P254" s="18"/>
      <c r="Q254" s="2" t="str">
        <f t="shared" si="94"/>
        <v/>
      </c>
      <c r="R254" s="2"/>
      <c r="S254" s="2"/>
      <c r="T254" s="2"/>
      <c r="U254" s="18"/>
      <c r="V254" s="18"/>
      <c r="W254" s="18"/>
      <c r="X254" s="18"/>
      <c r="Y254" s="18"/>
      <c r="AA254" s="22"/>
      <c r="AB254" s="29"/>
      <c r="AC254" s="30"/>
      <c r="AD254" s="29"/>
      <c r="AE254" s="29"/>
      <c r="AF254" s="11"/>
      <c r="AG254" s="31"/>
      <c r="AH254" s="31"/>
    </row>
    <row r="255" spans="1:34" s="26" customFormat="1" ht="64.5" hidden="1" customHeight="1" x14ac:dyDescent="0.25">
      <c r="A255" s="82"/>
      <c r="B255" s="82"/>
      <c r="C255" s="21"/>
      <c r="D255" s="22"/>
      <c r="E255" s="23"/>
      <c r="F255" s="23"/>
      <c r="G255" s="81"/>
      <c r="H255" s="81"/>
      <c r="I255" s="25"/>
      <c r="J255" s="32"/>
      <c r="L255" s="27"/>
      <c r="M255" s="28"/>
      <c r="O255" s="26" t="str">
        <f t="shared" ref="O255" si="110">IF(H255&lt;&gt;0,"Capturado","")</f>
        <v/>
      </c>
      <c r="P255" s="18"/>
      <c r="Q255" s="2" t="str">
        <f t="shared" si="94"/>
        <v/>
      </c>
      <c r="R255" s="2"/>
      <c r="S255" s="2"/>
      <c r="T255" s="2"/>
      <c r="U255" s="18"/>
      <c r="V255" s="18"/>
      <c r="W255" s="18"/>
      <c r="X255" s="18"/>
      <c r="Y255" s="18"/>
      <c r="AA255" s="22"/>
      <c r="AB255" s="29"/>
      <c r="AC255" s="30"/>
      <c r="AD255" s="29"/>
      <c r="AE255" s="29"/>
      <c r="AF255" s="11"/>
      <c r="AG255" s="31"/>
      <c r="AH255" s="31"/>
    </row>
    <row r="256" spans="1:34" s="26" customFormat="1" hidden="1" x14ac:dyDescent="0.25">
      <c r="A256" s="82"/>
      <c r="B256" s="82"/>
      <c r="C256" s="21"/>
      <c r="D256" s="22"/>
      <c r="E256" s="23"/>
      <c r="F256" s="23"/>
      <c r="G256" s="81"/>
      <c r="H256" s="81"/>
      <c r="I256" s="25"/>
      <c r="J256" s="32"/>
      <c r="L256" s="27"/>
      <c r="M256" s="28"/>
      <c r="P256" s="18"/>
      <c r="Q256" s="2" t="str">
        <f t="shared" si="94"/>
        <v/>
      </c>
      <c r="R256" s="2"/>
      <c r="S256" s="2"/>
      <c r="T256" s="2"/>
      <c r="U256" s="18"/>
      <c r="V256" s="18"/>
      <c r="W256" s="18"/>
      <c r="X256" s="18"/>
      <c r="Y256" s="18"/>
      <c r="AA256" s="22"/>
      <c r="AB256" s="29"/>
      <c r="AC256" s="30"/>
      <c r="AD256" s="29"/>
      <c r="AE256" s="29"/>
      <c r="AF256" s="11"/>
      <c r="AG256" s="31"/>
      <c r="AH256" s="31"/>
    </row>
    <row r="257" spans="1:34" s="26" customFormat="1" hidden="1" x14ac:dyDescent="0.25">
      <c r="A257" s="82"/>
      <c r="B257" s="82"/>
      <c r="C257" s="21"/>
      <c r="D257" s="22"/>
      <c r="E257" s="23"/>
      <c r="F257" s="23"/>
      <c r="G257" s="81"/>
      <c r="H257" s="81"/>
      <c r="I257" s="25"/>
      <c r="J257" s="32"/>
      <c r="L257" s="27"/>
      <c r="M257" s="28"/>
      <c r="O257" s="26" t="str">
        <f t="shared" ref="O257" si="111">IF(H257&lt;&gt;0,"Capturado","")</f>
        <v/>
      </c>
      <c r="P257" s="18"/>
      <c r="Q257" s="2" t="str">
        <f t="shared" si="94"/>
        <v/>
      </c>
      <c r="R257" s="2"/>
      <c r="S257" s="2"/>
      <c r="T257" s="2"/>
      <c r="U257" s="18"/>
      <c r="V257" s="18"/>
      <c r="W257" s="18"/>
      <c r="X257" s="18"/>
      <c r="Y257" s="18"/>
      <c r="AA257" s="22"/>
      <c r="AB257" s="29"/>
      <c r="AC257" s="30"/>
      <c r="AD257" s="29"/>
      <c r="AE257" s="29"/>
      <c r="AF257" s="11"/>
      <c r="AG257" s="31"/>
      <c r="AH257" s="31"/>
    </row>
    <row r="258" spans="1:34" s="26" customFormat="1" hidden="1" x14ac:dyDescent="0.25">
      <c r="A258" s="82"/>
      <c r="B258" s="82"/>
      <c r="C258" s="21"/>
      <c r="D258" s="22"/>
      <c r="E258" s="23"/>
      <c r="F258" s="23"/>
      <c r="G258" s="81"/>
      <c r="H258" s="81"/>
      <c r="I258" s="25"/>
      <c r="J258" s="32"/>
      <c r="L258" s="27"/>
      <c r="M258" s="28"/>
      <c r="P258" s="18"/>
      <c r="Q258" s="2" t="str">
        <f t="shared" si="94"/>
        <v/>
      </c>
      <c r="R258" s="2"/>
      <c r="S258" s="2"/>
      <c r="T258" s="2"/>
      <c r="U258" s="18"/>
      <c r="V258" s="18"/>
      <c r="W258" s="18"/>
      <c r="X258" s="18"/>
      <c r="Y258" s="18"/>
      <c r="AA258" s="22"/>
      <c r="AB258" s="29"/>
      <c r="AC258" s="30"/>
      <c r="AD258" s="29"/>
      <c r="AE258" s="29"/>
      <c r="AF258" s="11"/>
      <c r="AG258" s="31"/>
      <c r="AH258" s="31"/>
    </row>
    <row r="259" spans="1:34" s="26" customFormat="1" hidden="1" x14ac:dyDescent="0.25">
      <c r="A259" s="20"/>
      <c r="B259" s="20"/>
      <c r="C259" s="21"/>
      <c r="D259" s="22"/>
      <c r="E259" s="23"/>
      <c r="F259" s="23"/>
      <c r="G259" s="46"/>
      <c r="H259" s="24"/>
      <c r="I259" s="25"/>
      <c r="L259" s="27"/>
      <c r="M259" s="28"/>
      <c r="P259" s="18"/>
      <c r="Q259" s="2" t="str">
        <f t="shared" si="81"/>
        <v/>
      </c>
      <c r="R259" s="2"/>
      <c r="S259" s="2"/>
      <c r="T259" s="2"/>
      <c r="U259" s="18"/>
      <c r="V259" s="18"/>
      <c r="W259" s="18"/>
      <c r="X259" s="18"/>
      <c r="Y259" s="18"/>
      <c r="AA259" s="22"/>
      <c r="AB259" s="29"/>
      <c r="AC259" s="30"/>
      <c r="AD259" s="29"/>
      <c r="AE259" s="29"/>
      <c r="AF259" s="11"/>
      <c r="AG259" s="31"/>
      <c r="AH259" s="31"/>
    </row>
    <row r="260" spans="1:34" s="26" customFormat="1" hidden="1" x14ac:dyDescent="0.25">
      <c r="A260" s="20"/>
      <c r="B260" s="20"/>
      <c r="C260" s="21"/>
      <c r="D260" s="22"/>
      <c r="E260" s="23"/>
      <c r="F260" s="23"/>
      <c r="G260" s="46"/>
      <c r="H260" s="24"/>
      <c r="I260" s="25"/>
      <c r="L260" s="27"/>
      <c r="M260" s="28"/>
      <c r="P260" s="18"/>
      <c r="Q260" s="2" t="str">
        <f t="shared" si="81"/>
        <v/>
      </c>
      <c r="R260" s="2"/>
      <c r="S260" s="2"/>
      <c r="T260" s="2"/>
      <c r="U260" s="18"/>
      <c r="V260" s="18"/>
      <c r="W260" s="18"/>
      <c r="X260" s="18"/>
      <c r="Y260" s="18"/>
      <c r="AA260" s="22"/>
      <c r="AB260" s="29"/>
      <c r="AC260" s="30"/>
      <c r="AD260" s="29"/>
      <c r="AE260" s="29"/>
      <c r="AF260" s="11"/>
      <c r="AG260" s="31"/>
      <c r="AH260" s="31"/>
    </row>
    <row r="261" spans="1:34" s="26" customFormat="1" hidden="1" x14ac:dyDescent="0.25">
      <c r="A261" s="20"/>
      <c r="B261" s="20"/>
      <c r="C261" s="21"/>
      <c r="D261" s="22"/>
      <c r="E261" s="23"/>
      <c r="F261" s="23"/>
      <c r="G261" s="46"/>
      <c r="H261" s="24"/>
      <c r="I261" s="25"/>
      <c r="L261" s="27"/>
      <c r="M261" s="28"/>
      <c r="P261" s="18"/>
      <c r="Q261" s="2" t="str">
        <f t="shared" si="81"/>
        <v/>
      </c>
      <c r="R261" s="2"/>
      <c r="S261" s="2"/>
      <c r="T261" s="2"/>
      <c r="U261" s="18"/>
      <c r="V261" s="18"/>
      <c r="W261" s="18"/>
      <c r="X261" s="18"/>
      <c r="Y261" s="18"/>
      <c r="AA261" s="22"/>
      <c r="AB261" s="29"/>
      <c r="AC261" s="30"/>
      <c r="AD261" s="29"/>
      <c r="AE261" s="29"/>
      <c r="AF261" s="11"/>
      <c r="AG261" s="31"/>
      <c r="AH261" s="31"/>
    </row>
    <row r="262" spans="1:34" s="26" customFormat="1" hidden="1" x14ac:dyDescent="0.25">
      <c r="A262" s="20"/>
      <c r="B262" s="20"/>
      <c r="C262" s="21"/>
      <c r="D262" s="22"/>
      <c r="E262" s="23"/>
      <c r="F262" s="23"/>
      <c r="G262" s="46"/>
      <c r="H262" s="24"/>
      <c r="I262" s="25"/>
      <c r="L262" s="27"/>
      <c r="M262" s="28"/>
      <c r="P262" s="18"/>
      <c r="Q262" s="2" t="str">
        <f t="shared" si="81"/>
        <v/>
      </c>
      <c r="R262" s="2"/>
      <c r="S262" s="2"/>
      <c r="T262" s="2"/>
      <c r="U262" s="18"/>
      <c r="V262" s="18"/>
      <c r="W262" s="18"/>
      <c r="X262" s="18"/>
      <c r="Y262" s="18"/>
      <c r="AA262" s="22"/>
      <c r="AB262" s="29"/>
      <c r="AC262" s="30"/>
      <c r="AD262" s="29"/>
      <c r="AE262" s="29"/>
      <c r="AF262" s="11"/>
      <c r="AG262" s="31"/>
      <c r="AH262" s="31"/>
    </row>
    <row r="263" spans="1:34" s="26" customFormat="1" hidden="1" x14ac:dyDescent="0.25">
      <c r="A263" s="20"/>
      <c r="B263" s="20"/>
      <c r="C263" s="21"/>
      <c r="D263" s="22"/>
      <c r="E263" s="23"/>
      <c r="F263" s="23"/>
      <c r="G263" s="46"/>
      <c r="H263" s="24"/>
      <c r="I263" s="25"/>
      <c r="L263" s="27"/>
      <c r="M263" s="28"/>
      <c r="P263" s="18"/>
      <c r="Q263" s="2" t="str">
        <f t="shared" si="81"/>
        <v/>
      </c>
      <c r="R263" s="2"/>
      <c r="S263" s="2"/>
      <c r="T263" s="2"/>
      <c r="U263" s="18"/>
      <c r="V263" s="18"/>
      <c r="W263" s="18"/>
      <c r="X263" s="18"/>
      <c r="Y263" s="18"/>
      <c r="AA263" s="22"/>
      <c r="AB263" s="29"/>
      <c r="AC263" s="30"/>
      <c r="AD263" s="29"/>
      <c r="AE263" s="29"/>
      <c r="AF263" s="11"/>
      <c r="AG263" s="31"/>
      <c r="AH263" s="31"/>
    </row>
    <row r="264" spans="1:34" s="26" customFormat="1" hidden="1" x14ac:dyDescent="0.25">
      <c r="A264" s="20"/>
      <c r="B264" s="20"/>
      <c r="C264" s="21"/>
      <c r="D264" s="22"/>
      <c r="E264" s="23"/>
      <c r="F264" s="23"/>
      <c r="G264" s="46"/>
      <c r="H264" s="24"/>
      <c r="I264" s="25"/>
      <c r="L264" s="27"/>
      <c r="M264" s="28"/>
      <c r="P264" s="18"/>
      <c r="Q264" s="2" t="str">
        <f t="shared" si="81"/>
        <v/>
      </c>
      <c r="R264" s="2"/>
      <c r="S264" s="2"/>
      <c r="T264" s="2"/>
      <c r="U264" s="18"/>
      <c r="V264" s="18"/>
      <c r="W264" s="18"/>
      <c r="X264" s="18"/>
      <c r="Y264" s="18"/>
      <c r="AA264" s="22"/>
      <c r="AB264" s="29"/>
      <c r="AC264" s="30"/>
      <c r="AD264" s="29"/>
      <c r="AE264" s="29"/>
      <c r="AF264" s="11"/>
      <c r="AG264" s="31"/>
      <c r="AH264" s="31"/>
    </row>
    <row r="265" spans="1:34" s="26" customFormat="1" hidden="1" x14ac:dyDescent="0.25">
      <c r="A265" s="20"/>
      <c r="B265" s="20"/>
      <c r="C265" s="21"/>
      <c r="D265" s="22"/>
      <c r="E265" s="23"/>
      <c r="F265" s="23"/>
      <c r="G265" s="46"/>
      <c r="H265" s="24"/>
      <c r="I265" s="25"/>
      <c r="L265" s="27"/>
      <c r="M265" s="28"/>
      <c r="P265" s="18"/>
      <c r="Q265" s="2" t="str">
        <f t="shared" si="81"/>
        <v/>
      </c>
      <c r="R265" s="2"/>
      <c r="S265" s="2"/>
      <c r="T265" s="2"/>
      <c r="U265" s="18"/>
      <c r="V265" s="18"/>
      <c r="W265" s="18"/>
      <c r="X265" s="18"/>
      <c r="Y265" s="18"/>
      <c r="AA265" s="22"/>
      <c r="AB265" s="29"/>
      <c r="AC265" s="30"/>
      <c r="AD265" s="29"/>
      <c r="AE265" s="29"/>
      <c r="AF265" s="11"/>
      <c r="AG265" s="31"/>
      <c r="AH265" s="31"/>
    </row>
    <row r="266" spans="1:34" s="26" customFormat="1" hidden="1" x14ac:dyDescent="0.25">
      <c r="A266" s="20"/>
      <c r="B266" s="20"/>
      <c r="C266" s="21"/>
      <c r="D266" s="22"/>
      <c r="E266" s="23"/>
      <c r="F266" s="23"/>
      <c r="G266" s="46"/>
      <c r="H266" s="24"/>
      <c r="I266" s="25"/>
      <c r="L266" s="27"/>
      <c r="M266" s="28"/>
      <c r="P266" s="18"/>
      <c r="Q266" s="2" t="str">
        <f t="shared" si="81"/>
        <v/>
      </c>
      <c r="R266" s="2"/>
      <c r="S266" s="2"/>
      <c r="T266" s="2"/>
      <c r="U266" s="18"/>
      <c r="V266" s="18"/>
      <c r="W266" s="18"/>
      <c r="X266" s="18"/>
      <c r="Y266" s="18"/>
      <c r="AA266" s="22"/>
      <c r="AB266" s="29"/>
      <c r="AC266" s="30"/>
      <c r="AD266" s="29"/>
      <c r="AE266" s="29"/>
      <c r="AF266" s="11"/>
      <c r="AG266" s="31"/>
      <c r="AH266" s="31"/>
    </row>
    <row r="267" spans="1:34" s="26" customFormat="1" hidden="1" x14ac:dyDescent="0.25">
      <c r="A267" s="20"/>
      <c r="B267" s="20"/>
      <c r="C267" s="21"/>
      <c r="D267" s="22"/>
      <c r="E267" s="23"/>
      <c r="F267" s="23"/>
      <c r="G267" s="46"/>
      <c r="H267" s="24"/>
      <c r="I267" s="25"/>
      <c r="L267" s="27"/>
      <c r="M267" s="28"/>
      <c r="P267" s="18"/>
      <c r="Q267" s="2" t="str">
        <f t="shared" si="81"/>
        <v/>
      </c>
      <c r="R267" s="2"/>
      <c r="S267" s="2"/>
      <c r="T267" s="2"/>
      <c r="U267" s="18"/>
      <c r="V267" s="18"/>
      <c r="W267" s="18"/>
      <c r="X267" s="18"/>
      <c r="Y267" s="18"/>
      <c r="AA267" s="22"/>
      <c r="AB267" s="29"/>
      <c r="AC267" s="30"/>
      <c r="AD267" s="29"/>
      <c r="AE267" s="29"/>
      <c r="AF267" s="11"/>
      <c r="AG267" s="31"/>
      <c r="AH267" s="31"/>
    </row>
    <row r="268" spans="1:34" s="26" customFormat="1" hidden="1" x14ac:dyDescent="0.25">
      <c r="A268" s="20"/>
      <c r="B268" s="20"/>
      <c r="C268" s="21"/>
      <c r="D268" s="22"/>
      <c r="E268" s="23"/>
      <c r="F268" s="23"/>
      <c r="G268" s="46"/>
      <c r="H268" s="24"/>
      <c r="I268" s="25"/>
      <c r="L268" s="27"/>
      <c r="M268" s="28"/>
      <c r="P268" s="18"/>
      <c r="Q268" s="2" t="str">
        <f t="shared" si="81"/>
        <v/>
      </c>
      <c r="R268" s="2"/>
      <c r="S268" s="2"/>
      <c r="T268" s="2"/>
      <c r="U268" s="18"/>
      <c r="V268" s="18"/>
      <c r="W268" s="18"/>
      <c r="X268" s="18"/>
      <c r="Y268" s="18"/>
      <c r="AA268" s="22"/>
      <c r="AB268" s="29"/>
      <c r="AC268" s="30"/>
      <c r="AD268" s="29"/>
      <c r="AE268" s="29"/>
      <c r="AF268" s="11"/>
      <c r="AG268" s="31"/>
      <c r="AH268" s="31"/>
    </row>
    <row r="269" spans="1:34" s="26" customFormat="1" hidden="1" x14ac:dyDescent="0.25">
      <c r="A269" s="20"/>
      <c r="B269" s="20"/>
      <c r="C269" s="21"/>
      <c r="D269" s="22"/>
      <c r="E269" s="23"/>
      <c r="F269" s="23"/>
      <c r="G269" s="46"/>
      <c r="H269" s="24"/>
      <c r="I269" s="25"/>
      <c r="L269" s="27"/>
      <c r="M269" s="28"/>
      <c r="P269" s="18"/>
      <c r="Q269" s="2" t="str">
        <f t="shared" si="81"/>
        <v/>
      </c>
      <c r="R269" s="2"/>
      <c r="S269" s="2"/>
      <c r="T269" s="2"/>
      <c r="U269" s="18"/>
      <c r="V269" s="18"/>
      <c r="W269" s="18"/>
      <c r="X269" s="18"/>
      <c r="Y269" s="18"/>
      <c r="AA269" s="22"/>
      <c r="AB269" s="29"/>
      <c r="AC269" s="30"/>
      <c r="AD269" s="29"/>
      <c r="AE269" s="29"/>
      <c r="AF269" s="11"/>
      <c r="AG269" s="31"/>
      <c r="AH269" s="31"/>
    </row>
    <row r="270" spans="1:34" s="26" customFormat="1" hidden="1" x14ac:dyDescent="0.25">
      <c r="A270" s="20"/>
      <c r="B270" s="20"/>
      <c r="C270" s="21"/>
      <c r="D270" s="22"/>
      <c r="E270" s="23"/>
      <c r="F270" s="23"/>
      <c r="G270" s="46"/>
      <c r="H270" s="24"/>
      <c r="I270" s="25"/>
      <c r="L270" s="27"/>
      <c r="M270" s="28"/>
      <c r="P270" s="18"/>
      <c r="Q270" s="2" t="str">
        <f t="shared" si="81"/>
        <v/>
      </c>
      <c r="R270" s="2"/>
      <c r="S270" s="2"/>
      <c r="T270" s="2"/>
      <c r="U270" s="18"/>
      <c r="V270" s="18"/>
      <c r="W270" s="18"/>
      <c r="X270" s="18"/>
      <c r="Y270" s="18"/>
      <c r="AA270" s="22"/>
      <c r="AB270" s="29"/>
      <c r="AC270" s="30"/>
      <c r="AD270" s="29"/>
      <c r="AE270" s="29"/>
      <c r="AF270" s="11"/>
      <c r="AG270" s="31"/>
      <c r="AH270" s="31"/>
    </row>
    <row r="271" spans="1:34" s="26" customFormat="1" hidden="1" x14ac:dyDescent="0.25">
      <c r="A271" s="20"/>
      <c r="B271" s="20"/>
      <c r="C271" s="21"/>
      <c r="D271" s="22"/>
      <c r="E271" s="23"/>
      <c r="F271" s="23"/>
      <c r="G271" s="46"/>
      <c r="H271" s="24"/>
      <c r="I271" s="25"/>
      <c r="L271" s="27"/>
      <c r="M271" s="28"/>
      <c r="P271" s="18"/>
      <c r="Q271" s="2" t="str">
        <f t="shared" si="81"/>
        <v/>
      </c>
      <c r="R271" s="2"/>
      <c r="S271" s="2"/>
      <c r="T271" s="2"/>
      <c r="U271" s="18"/>
      <c r="V271" s="18"/>
      <c r="W271" s="18"/>
      <c r="X271" s="18"/>
      <c r="Y271" s="18"/>
      <c r="AA271" s="22"/>
      <c r="AB271" s="29"/>
      <c r="AC271" s="30"/>
      <c r="AD271" s="29"/>
      <c r="AE271" s="29"/>
      <c r="AF271" s="11"/>
      <c r="AG271" s="31"/>
      <c r="AH271" s="31"/>
    </row>
    <row r="272" spans="1:34" s="26" customFormat="1" hidden="1" x14ac:dyDescent="0.25">
      <c r="A272" s="20"/>
      <c r="B272" s="20"/>
      <c r="C272" s="21"/>
      <c r="D272" s="22"/>
      <c r="E272" s="23"/>
      <c r="F272" s="23"/>
      <c r="G272" s="46"/>
      <c r="H272" s="24"/>
      <c r="I272" s="25"/>
      <c r="L272" s="27"/>
      <c r="M272" s="28"/>
      <c r="P272" s="18"/>
      <c r="Q272" s="2" t="str">
        <f t="shared" si="81"/>
        <v/>
      </c>
      <c r="R272" s="2"/>
      <c r="S272" s="2"/>
      <c r="T272" s="2"/>
      <c r="U272" s="18"/>
      <c r="V272" s="18"/>
      <c r="W272" s="18"/>
      <c r="X272" s="18"/>
      <c r="Y272" s="18"/>
      <c r="AA272" s="22"/>
      <c r="AB272" s="29"/>
      <c r="AC272" s="30"/>
      <c r="AD272" s="29"/>
      <c r="AE272" s="29"/>
      <c r="AF272" s="11"/>
      <c r="AG272" s="31"/>
      <c r="AH272" s="31"/>
    </row>
    <row r="273" spans="1:34" s="26" customFormat="1" hidden="1" x14ac:dyDescent="0.25">
      <c r="A273" s="20"/>
      <c r="B273" s="20"/>
      <c r="C273" s="21"/>
      <c r="D273" s="22"/>
      <c r="E273" s="23"/>
      <c r="F273" s="23"/>
      <c r="G273" s="46"/>
      <c r="H273" s="24"/>
      <c r="I273" s="25"/>
      <c r="L273" s="27"/>
      <c r="M273" s="28"/>
      <c r="P273" s="18"/>
      <c r="Q273" s="2" t="str">
        <f t="shared" si="81"/>
        <v/>
      </c>
      <c r="R273" s="2"/>
      <c r="S273" s="2"/>
      <c r="T273" s="2"/>
      <c r="U273" s="18"/>
      <c r="V273" s="18"/>
      <c r="W273" s="18"/>
      <c r="X273" s="18"/>
      <c r="Y273" s="18"/>
      <c r="AA273" s="22"/>
      <c r="AB273" s="29"/>
      <c r="AC273" s="30"/>
      <c r="AD273" s="29"/>
      <c r="AE273" s="29"/>
      <c r="AF273" s="11"/>
      <c r="AG273" s="31"/>
      <c r="AH273" s="31"/>
    </row>
    <row r="274" spans="1:34" s="26" customFormat="1" ht="72.75" hidden="1" customHeight="1" x14ac:dyDescent="0.25">
      <c r="A274" s="20"/>
      <c r="B274" s="20"/>
      <c r="C274" s="21"/>
      <c r="D274" s="22"/>
      <c r="E274" s="23"/>
      <c r="F274" s="23"/>
      <c r="G274" s="46"/>
      <c r="H274" s="24"/>
      <c r="I274" s="25"/>
      <c r="L274" s="27"/>
      <c r="M274" s="28"/>
      <c r="P274" s="18"/>
      <c r="Q274" s="2" t="str">
        <f t="shared" si="81"/>
        <v/>
      </c>
      <c r="R274" s="2"/>
      <c r="S274" s="2"/>
      <c r="T274" s="2"/>
      <c r="U274" s="18"/>
      <c r="V274" s="18"/>
      <c r="W274" s="18"/>
      <c r="X274" s="18"/>
      <c r="Y274" s="18"/>
      <c r="AA274" s="22"/>
      <c r="AB274" s="29"/>
      <c r="AC274" s="30"/>
      <c r="AD274" s="29"/>
      <c r="AE274" s="29"/>
      <c r="AF274" s="11"/>
      <c r="AG274" s="31"/>
      <c r="AH274" s="31"/>
    </row>
    <row r="275" spans="1:34" s="26" customFormat="1" hidden="1" x14ac:dyDescent="0.25">
      <c r="A275" s="20"/>
      <c r="B275" s="20"/>
      <c r="C275" s="21"/>
      <c r="D275" s="22"/>
      <c r="E275" s="23"/>
      <c r="F275" s="23"/>
      <c r="G275" s="46"/>
      <c r="H275" s="24"/>
      <c r="I275" s="25"/>
      <c r="L275" s="27"/>
      <c r="M275" s="28"/>
      <c r="P275" s="18"/>
      <c r="Q275" s="2" t="str">
        <f t="shared" si="81"/>
        <v/>
      </c>
      <c r="R275" s="2"/>
      <c r="S275" s="2"/>
      <c r="T275" s="2"/>
      <c r="U275" s="18"/>
      <c r="V275" s="18"/>
      <c r="W275" s="18"/>
      <c r="X275" s="18"/>
      <c r="Y275" s="18"/>
      <c r="AA275" s="22"/>
      <c r="AB275" s="29"/>
      <c r="AC275" s="30"/>
      <c r="AD275" s="29"/>
      <c r="AE275" s="29"/>
      <c r="AF275" s="11"/>
      <c r="AG275" s="31"/>
      <c r="AH275" s="31"/>
    </row>
    <row r="276" spans="1:34" s="26" customFormat="1" hidden="1" x14ac:dyDescent="0.25">
      <c r="A276" s="20"/>
      <c r="B276" s="20"/>
      <c r="C276" s="21"/>
      <c r="D276" s="22"/>
      <c r="E276" s="23"/>
      <c r="F276" s="23"/>
      <c r="G276" s="46"/>
      <c r="H276" s="24"/>
      <c r="I276" s="25"/>
      <c r="L276" s="27"/>
      <c r="M276" s="28"/>
      <c r="P276" s="18"/>
      <c r="Q276" s="2" t="str">
        <f t="shared" si="81"/>
        <v/>
      </c>
      <c r="R276" s="2"/>
      <c r="S276" s="2"/>
      <c r="T276" s="2"/>
      <c r="U276" s="18"/>
      <c r="V276" s="18"/>
      <c r="W276" s="18"/>
      <c r="X276" s="18"/>
      <c r="Y276" s="18"/>
      <c r="AA276" s="22"/>
      <c r="AB276" s="29"/>
      <c r="AC276" s="30"/>
      <c r="AD276" s="29"/>
      <c r="AE276" s="29"/>
      <c r="AF276" s="11"/>
      <c r="AG276" s="31"/>
      <c r="AH276" s="31"/>
    </row>
    <row r="277" spans="1:34" s="26" customFormat="1" hidden="1" x14ac:dyDescent="0.25">
      <c r="A277" s="20"/>
      <c r="B277" s="20"/>
      <c r="C277" s="21"/>
      <c r="D277" s="22"/>
      <c r="E277" s="23"/>
      <c r="F277" s="23"/>
      <c r="G277" s="46"/>
      <c r="H277" s="24"/>
      <c r="I277" s="25"/>
      <c r="L277" s="27"/>
      <c r="M277" s="28"/>
      <c r="P277" s="18"/>
      <c r="Q277" s="2" t="str">
        <f t="shared" si="81"/>
        <v/>
      </c>
      <c r="R277" s="2"/>
      <c r="S277" s="2"/>
      <c r="T277" s="2"/>
      <c r="U277" s="18"/>
      <c r="V277" s="18"/>
      <c r="W277" s="18"/>
      <c r="X277" s="18"/>
      <c r="Y277" s="18"/>
      <c r="AA277" s="22"/>
      <c r="AB277" s="29"/>
      <c r="AC277" s="30"/>
      <c r="AD277" s="29"/>
      <c r="AE277" s="29"/>
      <c r="AF277" s="11"/>
      <c r="AG277" s="31"/>
      <c r="AH277" s="31"/>
    </row>
    <row r="278" spans="1:34" s="26" customFormat="1" hidden="1" x14ac:dyDescent="0.25">
      <c r="A278" s="20"/>
      <c r="B278" s="20"/>
      <c r="C278" s="21"/>
      <c r="D278" s="22"/>
      <c r="E278" s="23"/>
      <c r="F278" s="23"/>
      <c r="G278" s="46"/>
      <c r="H278" s="24"/>
      <c r="I278" s="25"/>
      <c r="L278" s="27"/>
      <c r="M278" s="28"/>
      <c r="P278" s="18"/>
      <c r="Q278" s="2" t="str">
        <f t="shared" si="81"/>
        <v/>
      </c>
      <c r="R278" s="2"/>
      <c r="S278" s="2"/>
      <c r="T278" s="2"/>
      <c r="U278" s="18"/>
      <c r="V278" s="18"/>
      <c r="W278" s="18"/>
      <c r="X278" s="18"/>
      <c r="Y278" s="18"/>
      <c r="AA278" s="22"/>
      <c r="AB278" s="29"/>
      <c r="AC278" s="30"/>
      <c r="AD278" s="29"/>
      <c r="AE278" s="29"/>
      <c r="AF278" s="11"/>
      <c r="AG278" s="31"/>
      <c r="AH278" s="31"/>
    </row>
    <row r="279" spans="1:34" s="26" customFormat="1" hidden="1" x14ac:dyDescent="0.25">
      <c r="A279" s="20"/>
      <c r="B279" s="20"/>
      <c r="C279" s="21"/>
      <c r="D279" s="22"/>
      <c r="E279" s="23"/>
      <c r="F279" s="23"/>
      <c r="G279" s="46"/>
      <c r="H279" s="24"/>
      <c r="I279" s="25"/>
      <c r="L279" s="27"/>
      <c r="M279" s="28"/>
      <c r="P279" s="18"/>
      <c r="Q279" s="2" t="str">
        <f t="shared" si="81"/>
        <v/>
      </c>
      <c r="R279" s="2"/>
      <c r="S279" s="2"/>
      <c r="T279" s="2"/>
      <c r="U279" s="18"/>
      <c r="V279" s="18"/>
      <c r="W279" s="18"/>
      <c r="X279" s="18"/>
      <c r="Y279" s="18"/>
      <c r="AA279" s="22"/>
      <c r="AB279" s="29"/>
      <c r="AC279" s="30"/>
      <c r="AD279" s="29"/>
      <c r="AE279" s="29"/>
      <c r="AF279" s="11"/>
      <c r="AG279" s="31"/>
      <c r="AH279" s="31"/>
    </row>
    <row r="280" spans="1:34" s="26" customFormat="1" hidden="1" x14ac:dyDescent="0.25">
      <c r="A280" s="20"/>
      <c r="B280" s="20"/>
      <c r="C280" s="21"/>
      <c r="D280" s="22"/>
      <c r="E280" s="23"/>
      <c r="F280" s="23"/>
      <c r="G280" s="46"/>
      <c r="H280" s="24"/>
      <c r="I280" s="25"/>
      <c r="L280" s="27"/>
      <c r="M280" s="28"/>
      <c r="P280" s="18"/>
      <c r="Q280" s="2" t="str">
        <f t="shared" si="81"/>
        <v/>
      </c>
      <c r="R280" s="2"/>
      <c r="S280" s="2"/>
      <c r="T280" s="2"/>
      <c r="U280" s="18"/>
      <c r="V280" s="18"/>
      <c r="W280" s="18"/>
      <c r="X280" s="18"/>
      <c r="Y280" s="18"/>
      <c r="AA280" s="22"/>
      <c r="AB280" s="29"/>
      <c r="AC280" s="30"/>
      <c r="AD280" s="29"/>
      <c r="AE280" s="29"/>
      <c r="AF280" s="11"/>
      <c r="AG280" s="31"/>
      <c r="AH280" s="31"/>
    </row>
    <row r="281" spans="1:34" s="26" customFormat="1" hidden="1" x14ac:dyDescent="0.25">
      <c r="A281" s="20"/>
      <c r="B281" s="20"/>
      <c r="C281" s="21"/>
      <c r="D281" s="22"/>
      <c r="E281" s="23"/>
      <c r="F281" s="23"/>
      <c r="G281" s="46"/>
      <c r="H281" s="24"/>
      <c r="I281" s="25"/>
      <c r="L281" s="27"/>
      <c r="M281" s="28"/>
      <c r="P281" s="18"/>
      <c r="Q281" s="2" t="str">
        <f t="shared" si="81"/>
        <v/>
      </c>
      <c r="R281" s="2"/>
      <c r="S281" s="2"/>
      <c r="T281" s="2"/>
      <c r="U281" s="18"/>
      <c r="V281" s="18"/>
      <c r="W281" s="18"/>
      <c r="X281" s="18"/>
      <c r="Y281" s="18"/>
      <c r="AA281" s="22"/>
      <c r="AB281" s="29"/>
      <c r="AC281" s="30"/>
      <c r="AD281" s="29"/>
      <c r="AE281" s="29"/>
      <c r="AF281" s="11"/>
      <c r="AG281" s="31"/>
      <c r="AH281" s="31"/>
    </row>
    <row r="282" spans="1:34" s="26" customFormat="1" hidden="1" x14ac:dyDescent="0.25">
      <c r="A282" s="20"/>
      <c r="B282" s="20"/>
      <c r="C282" s="21"/>
      <c r="D282" s="22"/>
      <c r="E282" s="23"/>
      <c r="F282" s="23"/>
      <c r="G282" s="46"/>
      <c r="H282" s="24"/>
      <c r="I282" s="25"/>
      <c r="L282" s="27"/>
      <c r="M282" s="28"/>
      <c r="P282" s="18"/>
      <c r="Q282" s="2" t="str">
        <f t="shared" si="81"/>
        <v/>
      </c>
      <c r="R282" s="2"/>
      <c r="S282" s="2"/>
      <c r="T282" s="2"/>
      <c r="U282" s="18"/>
      <c r="V282" s="18"/>
      <c r="W282" s="18"/>
      <c r="X282" s="18"/>
      <c r="Y282" s="18"/>
      <c r="AA282" s="22"/>
      <c r="AB282" s="29"/>
      <c r="AC282" s="30"/>
      <c r="AD282" s="29"/>
      <c r="AE282" s="29"/>
      <c r="AF282" s="11"/>
      <c r="AG282" s="31"/>
      <c r="AH282" s="31"/>
    </row>
    <row r="283" spans="1:34" s="26" customFormat="1" hidden="1" x14ac:dyDescent="0.25">
      <c r="A283" s="20"/>
      <c r="B283" s="20"/>
      <c r="C283" s="21"/>
      <c r="D283" s="22"/>
      <c r="E283" s="23"/>
      <c r="F283" s="23"/>
      <c r="G283" s="46"/>
      <c r="H283" s="24"/>
      <c r="I283" s="25"/>
      <c r="L283" s="27"/>
      <c r="M283" s="28"/>
      <c r="P283" s="18"/>
      <c r="Q283" s="2" t="str">
        <f t="shared" si="81"/>
        <v/>
      </c>
      <c r="R283" s="2"/>
      <c r="S283" s="2"/>
      <c r="T283" s="2"/>
      <c r="U283" s="18"/>
      <c r="V283" s="18"/>
      <c r="W283" s="18"/>
      <c r="X283" s="18"/>
      <c r="Y283" s="18"/>
      <c r="AA283" s="22"/>
      <c r="AB283" s="29"/>
      <c r="AC283" s="30"/>
      <c r="AD283" s="29"/>
      <c r="AE283" s="29"/>
      <c r="AF283" s="11"/>
      <c r="AG283" s="31"/>
      <c r="AH283" s="31"/>
    </row>
    <row r="284" spans="1:34" s="26" customFormat="1" hidden="1" x14ac:dyDescent="0.25">
      <c r="A284" s="20"/>
      <c r="B284" s="20"/>
      <c r="C284" s="21"/>
      <c r="D284" s="22"/>
      <c r="E284" s="23"/>
      <c r="F284" s="23"/>
      <c r="G284" s="46"/>
      <c r="H284" s="24"/>
      <c r="I284" s="25"/>
      <c r="L284" s="27"/>
      <c r="M284" s="28"/>
      <c r="P284" s="18"/>
      <c r="Q284" s="2" t="str">
        <f t="shared" si="81"/>
        <v/>
      </c>
      <c r="R284" s="2"/>
      <c r="S284" s="2"/>
      <c r="T284" s="2"/>
      <c r="U284" s="18"/>
      <c r="V284" s="18"/>
      <c r="W284" s="18"/>
      <c r="X284" s="18"/>
      <c r="Y284" s="18"/>
      <c r="AA284" s="22"/>
      <c r="AB284" s="29"/>
      <c r="AC284" s="30"/>
      <c r="AD284" s="29"/>
      <c r="AE284" s="29"/>
      <c r="AF284" s="11"/>
      <c r="AG284" s="31"/>
      <c r="AH284" s="31"/>
    </row>
    <row r="285" spans="1:34" s="26" customFormat="1" hidden="1" x14ac:dyDescent="0.25">
      <c r="A285" s="20"/>
      <c r="B285" s="20"/>
      <c r="C285" s="21"/>
      <c r="D285" s="22"/>
      <c r="E285" s="23"/>
      <c r="F285" s="23"/>
      <c r="G285" s="46"/>
      <c r="H285" s="24"/>
      <c r="I285" s="25"/>
      <c r="L285" s="27"/>
      <c r="M285" s="28"/>
      <c r="P285" s="18"/>
      <c r="Q285" s="2" t="str">
        <f t="shared" si="81"/>
        <v/>
      </c>
      <c r="R285" s="2"/>
      <c r="S285" s="2"/>
      <c r="T285" s="2"/>
      <c r="U285" s="18"/>
      <c r="V285" s="18"/>
      <c r="W285" s="18"/>
      <c r="X285" s="18"/>
      <c r="Y285" s="18"/>
      <c r="AA285" s="22"/>
      <c r="AB285" s="29"/>
      <c r="AC285" s="30"/>
      <c r="AD285" s="29"/>
      <c r="AE285" s="29"/>
      <c r="AF285" s="11"/>
      <c r="AG285" s="31"/>
      <c r="AH285" s="31"/>
    </row>
    <row r="286" spans="1:34" s="26" customFormat="1" hidden="1" x14ac:dyDescent="0.25">
      <c r="A286" s="20"/>
      <c r="B286" s="20"/>
      <c r="C286" s="21"/>
      <c r="D286" s="22"/>
      <c r="E286" s="23"/>
      <c r="F286" s="23"/>
      <c r="G286" s="46"/>
      <c r="H286" s="24"/>
      <c r="I286" s="25"/>
      <c r="L286" s="27"/>
      <c r="M286" s="28"/>
      <c r="P286" s="18"/>
      <c r="Q286" s="2" t="str">
        <f t="shared" si="81"/>
        <v/>
      </c>
      <c r="R286" s="2"/>
      <c r="S286" s="2"/>
      <c r="T286" s="2"/>
      <c r="U286" s="18"/>
      <c r="V286" s="18"/>
      <c r="W286" s="18"/>
      <c r="X286" s="18"/>
      <c r="Y286" s="18"/>
      <c r="AA286" s="22"/>
      <c r="AB286" s="29"/>
      <c r="AC286" s="30"/>
      <c r="AD286" s="29"/>
      <c r="AE286" s="29"/>
      <c r="AF286" s="11"/>
      <c r="AG286" s="31"/>
      <c r="AH286" s="31"/>
    </row>
    <row r="287" spans="1:34" s="26" customFormat="1" hidden="1" x14ac:dyDescent="0.25">
      <c r="A287" s="20"/>
      <c r="B287" s="20"/>
      <c r="C287" s="21"/>
      <c r="D287" s="22"/>
      <c r="E287" s="23"/>
      <c r="F287" s="23"/>
      <c r="G287" s="46"/>
      <c r="H287" s="24"/>
      <c r="I287" s="25"/>
      <c r="L287" s="27"/>
      <c r="M287" s="28"/>
      <c r="P287" s="18"/>
      <c r="Q287" s="2" t="str">
        <f t="shared" si="81"/>
        <v/>
      </c>
      <c r="R287" s="2"/>
      <c r="S287" s="2"/>
      <c r="T287" s="2"/>
      <c r="U287" s="18"/>
      <c r="V287" s="18"/>
      <c r="W287" s="18"/>
      <c r="X287" s="18"/>
      <c r="Y287" s="18"/>
      <c r="AA287" s="22"/>
      <c r="AB287" s="29"/>
      <c r="AC287" s="30"/>
      <c r="AD287" s="29"/>
      <c r="AE287" s="29"/>
      <c r="AF287" s="11"/>
      <c r="AG287" s="31"/>
      <c r="AH287" s="31"/>
    </row>
    <row r="288" spans="1:34" s="26" customFormat="1" hidden="1" x14ac:dyDescent="0.25">
      <c r="A288" s="20"/>
      <c r="B288" s="20"/>
      <c r="C288" s="21"/>
      <c r="D288" s="22"/>
      <c r="E288" s="23"/>
      <c r="F288" s="23"/>
      <c r="G288" s="46"/>
      <c r="H288" s="24"/>
      <c r="I288" s="25"/>
      <c r="L288" s="27"/>
      <c r="M288" s="28"/>
      <c r="P288" s="18"/>
      <c r="Q288" s="2" t="str">
        <f t="shared" si="81"/>
        <v/>
      </c>
      <c r="R288" s="2"/>
      <c r="S288" s="2"/>
      <c r="T288" s="2"/>
      <c r="U288" s="18"/>
      <c r="V288" s="18"/>
      <c r="W288" s="18"/>
      <c r="X288" s="18"/>
      <c r="Y288" s="18"/>
      <c r="AA288" s="22"/>
      <c r="AB288" s="29"/>
      <c r="AC288" s="30"/>
      <c r="AD288" s="29"/>
      <c r="AE288" s="29"/>
      <c r="AF288" s="11"/>
      <c r="AG288" s="31"/>
      <c r="AH288" s="31"/>
    </row>
    <row r="289" spans="1:34" s="26" customFormat="1" hidden="1" x14ac:dyDescent="0.25">
      <c r="A289" s="20"/>
      <c r="B289" s="20"/>
      <c r="C289" s="21"/>
      <c r="D289" s="22"/>
      <c r="E289" s="23"/>
      <c r="F289" s="23"/>
      <c r="G289" s="46"/>
      <c r="H289" s="24"/>
      <c r="I289" s="25"/>
      <c r="L289" s="27"/>
      <c r="M289" s="28"/>
      <c r="P289" s="18"/>
      <c r="Q289" s="2" t="str">
        <f t="shared" si="81"/>
        <v/>
      </c>
      <c r="R289" s="2"/>
      <c r="S289" s="2"/>
      <c r="T289" s="2"/>
      <c r="U289" s="18"/>
      <c r="V289" s="18"/>
      <c r="W289" s="18"/>
      <c r="X289" s="18"/>
      <c r="Y289" s="18"/>
      <c r="AA289" s="22"/>
      <c r="AB289" s="29"/>
      <c r="AC289" s="30"/>
      <c r="AD289" s="29"/>
      <c r="AE289" s="29"/>
      <c r="AF289" s="11"/>
      <c r="AG289" s="31"/>
      <c r="AH289" s="31"/>
    </row>
    <row r="290" spans="1:34" s="26" customFormat="1" hidden="1" x14ac:dyDescent="0.25">
      <c r="A290" s="20"/>
      <c r="B290" s="20"/>
      <c r="C290" s="21"/>
      <c r="D290" s="22"/>
      <c r="E290" s="23"/>
      <c r="F290" s="23"/>
      <c r="G290" s="46"/>
      <c r="H290" s="24"/>
      <c r="I290" s="25"/>
      <c r="L290" s="27"/>
      <c r="M290" s="28"/>
      <c r="P290" s="18"/>
      <c r="Q290" s="2" t="str">
        <f t="shared" si="81"/>
        <v/>
      </c>
      <c r="R290" s="2"/>
      <c r="S290" s="2"/>
      <c r="T290" s="2"/>
      <c r="U290" s="18"/>
      <c r="V290" s="18"/>
      <c r="W290" s="18"/>
      <c r="X290" s="18"/>
      <c r="Y290" s="18"/>
      <c r="AA290" s="22"/>
      <c r="AB290" s="29"/>
      <c r="AC290" s="30"/>
      <c r="AD290" s="29"/>
      <c r="AE290" s="29"/>
      <c r="AF290" s="11"/>
      <c r="AG290" s="31"/>
      <c r="AH290" s="31"/>
    </row>
    <row r="291" spans="1:34" s="26" customFormat="1" hidden="1" x14ac:dyDescent="0.25">
      <c r="A291" s="20"/>
      <c r="B291" s="20"/>
      <c r="C291" s="21"/>
      <c r="D291" s="22"/>
      <c r="E291" s="23"/>
      <c r="F291" s="23"/>
      <c r="G291" s="46"/>
      <c r="H291" s="24"/>
      <c r="I291" s="25"/>
      <c r="L291" s="27"/>
      <c r="M291" s="28"/>
      <c r="P291" s="18"/>
      <c r="Q291" s="2" t="str">
        <f t="shared" si="81"/>
        <v/>
      </c>
      <c r="R291" s="2"/>
      <c r="S291" s="2"/>
      <c r="T291" s="2"/>
      <c r="U291" s="18"/>
      <c r="V291" s="18"/>
      <c r="W291" s="18"/>
      <c r="X291" s="18"/>
      <c r="Y291" s="18"/>
      <c r="AA291" s="22"/>
      <c r="AB291" s="29"/>
      <c r="AC291" s="30"/>
      <c r="AD291" s="29"/>
      <c r="AE291" s="29"/>
      <c r="AF291" s="11"/>
      <c r="AG291" s="31"/>
      <c r="AH291" s="31"/>
    </row>
    <row r="292" spans="1:34" s="26" customFormat="1" hidden="1" x14ac:dyDescent="0.25">
      <c r="A292" s="20"/>
      <c r="B292" s="20"/>
      <c r="C292" s="21"/>
      <c r="D292" s="22"/>
      <c r="E292" s="23"/>
      <c r="F292" s="23"/>
      <c r="G292" s="46"/>
      <c r="H292" s="24"/>
      <c r="I292" s="25"/>
      <c r="L292" s="27"/>
      <c r="M292" s="28"/>
      <c r="P292" s="18"/>
      <c r="Q292" s="2" t="str">
        <f t="shared" si="81"/>
        <v/>
      </c>
      <c r="R292" s="2"/>
      <c r="S292" s="2"/>
      <c r="T292" s="2"/>
      <c r="U292" s="18"/>
      <c r="V292" s="18"/>
      <c r="W292" s="18"/>
      <c r="X292" s="18"/>
      <c r="Y292" s="18"/>
      <c r="AA292" s="22"/>
      <c r="AB292" s="29"/>
      <c r="AC292" s="30"/>
      <c r="AD292" s="29"/>
      <c r="AE292" s="29"/>
      <c r="AF292" s="11"/>
      <c r="AG292" s="31"/>
      <c r="AH292" s="31"/>
    </row>
    <row r="293" spans="1:34" s="26" customFormat="1" hidden="1" x14ac:dyDescent="0.25">
      <c r="A293" s="20"/>
      <c r="B293" s="20"/>
      <c r="C293" s="21"/>
      <c r="D293" s="22"/>
      <c r="E293" s="23"/>
      <c r="F293" s="23"/>
      <c r="G293" s="46"/>
      <c r="H293" s="24"/>
      <c r="I293" s="25"/>
      <c r="L293" s="27"/>
      <c r="M293" s="28"/>
      <c r="P293" s="18"/>
      <c r="Q293" s="2" t="str">
        <f t="shared" si="81"/>
        <v/>
      </c>
      <c r="R293" s="2"/>
      <c r="S293" s="2"/>
      <c r="T293" s="2"/>
      <c r="U293" s="18"/>
      <c r="V293" s="18"/>
      <c r="W293" s="18"/>
      <c r="X293" s="18"/>
      <c r="Y293" s="18"/>
      <c r="AA293" s="22"/>
      <c r="AB293" s="29"/>
      <c r="AC293" s="30"/>
      <c r="AD293" s="29"/>
      <c r="AE293" s="29"/>
      <c r="AF293" s="11"/>
      <c r="AG293" s="31"/>
      <c r="AH293" s="31"/>
    </row>
    <row r="294" spans="1:34" s="26" customFormat="1" hidden="1" x14ac:dyDescent="0.25">
      <c r="A294" s="20"/>
      <c r="B294" s="20"/>
      <c r="C294" s="21"/>
      <c r="D294" s="22"/>
      <c r="E294" s="23"/>
      <c r="F294" s="23"/>
      <c r="G294" s="46"/>
      <c r="H294" s="24"/>
      <c r="I294" s="25"/>
      <c r="L294" s="27"/>
      <c r="M294" s="28"/>
      <c r="P294" s="18"/>
      <c r="Q294" s="2" t="str">
        <f t="shared" si="81"/>
        <v/>
      </c>
      <c r="R294" s="2"/>
      <c r="S294" s="2"/>
      <c r="T294" s="2"/>
      <c r="U294" s="18"/>
      <c r="V294" s="18"/>
      <c r="W294" s="18"/>
      <c r="X294" s="18"/>
      <c r="Y294" s="18"/>
      <c r="AA294" s="22"/>
      <c r="AB294" s="29"/>
      <c r="AC294" s="30"/>
      <c r="AD294" s="29"/>
      <c r="AE294" s="29"/>
      <c r="AF294" s="11"/>
      <c r="AG294" s="31"/>
      <c r="AH294" s="31"/>
    </row>
    <row r="295" spans="1:34" s="26" customFormat="1" hidden="1" x14ac:dyDescent="0.25">
      <c r="A295" s="20"/>
      <c r="B295" s="20"/>
      <c r="C295" s="21"/>
      <c r="D295" s="22"/>
      <c r="E295" s="23"/>
      <c r="F295" s="23"/>
      <c r="G295" s="46"/>
      <c r="H295" s="24"/>
      <c r="I295" s="25"/>
      <c r="L295" s="27"/>
      <c r="M295" s="28"/>
      <c r="P295" s="18"/>
      <c r="Q295" s="2" t="str">
        <f t="shared" si="81"/>
        <v/>
      </c>
      <c r="R295" s="2"/>
      <c r="S295" s="2"/>
      <c r="T295" s="2"/>
      <c r="U295" s="18"/>
      <c r="V295" s="18"/>
      <c r="W295" s="18"/>
      <c r="X295" s="18"/>
      <c r="Y295" s="18"/>
      <c r="AA295" s="22"/>
      <c r="AB295" s="29"/>
      <c r="AC295" s="30"/>
      <c r="AD295" s="29"/>
      <c r="AE295" s="29"/>
      <c r="AF295" s="11"/>
      <c r="AG295" s="31"/>
      <c r="AH295" s="31"/>
    </row>
    <row r="296" spans="1:34" s="26" customFormat="1" hidden="1" x14ac:dyDescent="0.25">
      <c r="A296" s="20"/>
      <c r="B296" s="20"/>
      <c r="C296" s="21"/>
      <c r="D296" s="22"/>
      <c r="E296" s="23"/>
      <c r="F296" s="23"/>
      <c r="G296" s="46"/>
      <c r="H296" s="24"/>
      <c r="I296" s="25"/>
      <c r="L296" s="27"/>
      <c r="M296" s="28"/>
      <c r="P296" s="18"/>
      <c r="Q296" s="2" t="str">
        <f t="shared" si="81"/>
        <v/>
      </c>
      <c r="R296" s="2"/>
      <c r="S296" s="2"/>
      <c r="T296" s="2"/>
      <c r="U296" s="18"/>
      <c r="V296" s="18"/>
      <c r="W296" s="18"/>
      <c r="X296" s="18"/>
      <c r="Y296" s="18"/>
      <c r="AA296" s="22"/>
      <c r="AB296" s="29"/>
      <c r="AC296" s="30"/>
      <c r="AD296" s="29"/>
      <c r="AE296" s="29"/>
      <c r="AF296" s="11"/>
      <c r="AG296" s="31"/>
      <c r="AH296" s="31"/>
    </row>
    <row r="297" spans="1:34" s="26" customFormat="1" hidden="1" x14ac:dyDescent="0.25">
      <c r="A297" s="20"/>
      <c r="B297" s="20"/>
      <c r="C297" s="21"/>
      <c r="D297" s="22"/>
      <c r="E297" s="23"/>
      <c r="F297" s="23"/>
      <c r="G297" s="46"/>
      <c r="H297" s="24"/>
      <c r="I297" s="25"/>
      <c r="L297" s="27"/>
      <c r="M297" s="28"/>
      <c r="P297" s="18"/>
      <c r="Q297" s="2" t="str">
        <f t="shared" si="81"/>
        <v/>
      </c>
      <c r="R297" s="2"/>
      <c r="S297" s="2"/>
      <c r="T297" s="2"/>
      <c r="U297" s="18"/>
      <c r="V297" s="18"/>
      <c r="W297" s="18"/>
      <c r="X297" s="18"/>
      <c r="Y297" s="18"/>
      <c r="AA297" s="22"/>
      <c r="AB297" s="29"/>
      <c r="AC297" s="30"/>
      <c r="AD297" s="29"/>
      <c r="AE297" s="29"/>
      <c r="AF297" s="11"/>
      <c r="AG297" s="31"/>
      <c r="AH297" s="31"/>
    </row>
    <row r="298" spans="1:34" s="26" customFormat="1" hidden="1" x14ac:dyDescent="0.25">
      <c r="A298" s="20"/>
      <c r="B298" s="20"/>
      <c r="C298" s="21"/>
      <c r="D298" s="22"/>
      <c r="E298" s="23"/>
      <c r="F298" s="23"/>
      <c r="G298" s="46"/>
      <c r="H298" s="24"/>
      <c r="I298" s="25"/>
      <c r="L298" s="27"/>
      <c r="M298" s="28"/>
      <c r="P298" s="18"/>
      <c r="Q298" s="2" t="str">
        <f t="shared" si="81"/>
        <v/>
      </c>
      <c r="R298" s="2"/>
      <c r="S298" s="2"/>
      <c r="T298" s="2"/>
      <c r="U298" s="18"/>
      <c r="V298" s="18"/>
      <c r="W298" s="18"/>
      <c r="X298" s="18"/>
      <c r="Y298" s="18"/>
      <c r="AA298" s="22"/>
      <c r="AB298" s="29"/>
      <c r="AC298" s="30"/>
      <c r="AD298" s="29"/>
      <c r="AE298" s="29"/>
      <c r="AF298" s="11"/>
      <c r="AG298" s="31"/>
      <c r="AH298" s="31"/>
    </row>
    <row r="299" spans="1:34" s="26" customFormat="1" hidden="1" x14ac:dyDescent="0.25">
      <c r="A299" s="20"/>
      <c r="B299" s="20"/>
      <c r="C299" s="21"/>
      <c r="D299" s="22"/>
      <c r="E299" s="23"/>
      <c r="F299" s="23"/>
      <c r="G299" s="46"/>
      <c r="H299" s="24"/>
      <c r="I299" s="25"/>
      <c r="L299" s="27"/>
      <c r="M299" s="28"/>
      <c r="P299" s="18"/>
      <c r="Q299" s="2" t="str">
        <f t="shared" si="81"/>
        <v/>
      </c>
      <c r="R299" s="2"/>
      <c r="S299" s="2"/>
      <c r="T299" s="2"/>
      <c r="U299" s="18"/>
      <c r="V299" s="18"/>
      <c r="W299" s="18"/>
      <c r="X299" s="18"/>
      <c r="Y299" s="18"/>
      <c r="AA299" s="22"/>
      <c r="AB299" s="29"/>
      <c r="AC299" s="30"/>
      <c r="AD299" s="29"/>
      <c r="AE299" s="29"/>
      <c r="AF299" s="11"/>
      <c r="AG299" s="31"/>
      <c r="AH299" s="31"/>
    </row>
    <row r="300" spans="1:34" s="26" customFormat="1" hidden="1" x14ac:dyDescent="0.25">
      <c r="A300" s="20"/>
      <c r="B300" s="20"/>
      <c r="C300" s="21"/>
      <c r="D300" s="22"/>
      <c r="E300" s="23"/>
      <c r="F300" s="23"/>
      <c r="G300" s="46"/>
      <c r="H300" s="24"/>
      <c r="I300" s="25"/>
      <c r="L300" s="27"/>
      <c r="M300" s="28"/>
      <c r="P300" s="18"/>
      <c r="Q300" s="2" t="str">
        <f t="shared" si="81"/>
        <v/>
      </c>
      <c r="R300" s="2"/>
      <c r="S300" s="2"/>
      <c r="T300" s="2"/>
      <c r="U300" s="18"/>
      <c r="V300" s="18"/>
      <c r="W300" s="18"/>
      <c r="X300" s="18"/>
      <c r="Y300" s="18"/>
      <c r="AA300" s="22"/>
      <c r="AB300" s="29"/>
      <c r="AC300" s="30"/>
      <c r="AD300" s="29"/>
      <c r="AE300" s="29"/>
      <c r="AF300" s="11"/>
      <c r="AG300" s="31"/>
      <c r="AH300" s="31"/>
    </row>
    <row r="301" spans="1:34" s="26" customFormat="1" hidden="1" x14ac:dyDescent="0.25">
      <c r="A301" s="20"/>
      <c r="B301" s="20"/>
      <c r="C301" s="21"/>
      <c r="D301" s="22"/>
      <c r="E301" s="23"/>
      <c r="F301" s="23"/>
      <c r="G301" s="46"/>
      <c r="H301" s="24"/>
      <c r="I301" s="25"/>
      <c r="L301" s="27"/>
      <c r="M301" s="28"/>
      <c r="P301" s="18"/>
      <c r="Q301" s="2" t="str">
        <f t="shared" ref="Q301:Q364" si="112">IF(C301&lt;&gt;0,"Imprimir","")</f>
        <v/>
      </c>
      <c r="R301" s="2"/>
      <c r="S301" s="2"/>
      <c r="T301" s="2"/>
      <c r="U301" s="18"/>
      <c r="V301" s="18"/>
      <c r="W301" s="18"/>
      <c r="X301" s="18"/>
      <c r="Y301" s="18"/>
      <c r="AA301" s="22"/>
      <c r="AB301" s="29"/>
      <c r="AC301" s="30"/>
      <c r="AD301" s="29"/>
      <c r="AE301" s="29"/>
      <c r="AF301" s="11"/>
      <c r="AG301" s="31"/>
      <c r="AH301" s="31"/>
    </row>
    <row r="302" spans="1:34" s="26" customFormat="1" hidden="1" x14ac:dyDescent="0.25">
      <c r="A302" s="20"/>
      <c r="B302" s="20"/>
      <c r="C302" s="21"/>
      <c r="D302" s="22"/>
      <c r="E302" s="23"/>
      <c r="F302" s="23"/>
      <c r="G302" s="46"/>
      <c r="H302" s="24"/>
      <c r="I302" s="25"/>
      <c r="L302" s="27"/>
      <c r="M302" s="28"/>
      <c r="P302" s="18"/>
      <c r="Q302" s="2" t="str">
        <f t="shared" si="112"/>
        <v/>
      </c>
      <c r="R302" s="2"/>
      <c r="S302" s="2"/>
      <c r="T302" s="2"/>
      <c r="U302" s="18"/>
      <c r="V302" s="18"/>
      <c r="W302" s="18"/>
      <c r="X302" s="18"/>
      <c r="Y302" s="18"/>
      <c r="AA302" s="22"/>
      <c r="AB302" s="29"/>
      <c r="AC302" s="30"/>
      <c r="AD302" s="29"/>
      <c r="AE302" s="29"/>
      <c r="AF302" s="11"/>
      <c r="AG302" s="31"/>
      <c r="AH302" s="31"/>
    </row>
    <row r="303" spans="1:34" s="26" customFormat="1" ht="64.5" hidden="1" customHeight="1" x14ac:dyDescent="0.25">
      <c r="A303" s="20"/>
      <c r="B303" s="20"/>
      <c r="C303" s="21"/>
      <c r="D303" s="22"/>
      <c r="E303" s="23"/>
      <c r="F303" s="23"/>
      <c r="G303" s="46"/>
      <c r="H303" s="24"/>
      <c r="I303" s="25"/>
      <c r="L303" s="27"/>
      <c r="M303" s="28"/>
      <c r="P303" s="18"/>
      <c r="Q303" s="2" t="str">
        <f t="shared" si="112"/>
        <v/>
      </c>
      <c r="R303" s="2"/>
      <c r="S303" s="2"/>
      <c r="T303" s="2"/>
      <c r="U303" s="18"/>
      <c r="V303" s="18"/>
      <c r="W303" s="18"/>
      <c r="X303" s="18"/>
      <c r="Y303" s="18"/>
      <c r="AA303" s="22"/>
      <c r="AB303" s="29"/>
      <c r="AC303" s="30"/>
      <c r="AD303" s="29"/>
      <c r="AE303" s="29"/>
      <c r="AF303" s="11"/>
      <c r="AG303" s="31"/>
      <c r="AH303" s="31"/>
    </row>
    <row r="304" spans="1:34" s="26" customFormat="1" hidden="1" x14ac:dyDescent="0.25">
      <c r="A304" s="20"/>
      <c r="B304" s="20"/>
      <c r="C304" s="21"/>
      <c r="D304" s="22"/>
      <c r="E304" s="23"/>
      <c r="F304" s="23"/>
      <c r="G304" s="46"/>
      <c r="H304" s="24"/>
      <c r="I304" s="25"/>
      <c r="L304" s="27"/>
      <c r="M304" s="28"/>
      <c r="P304" s="18"/>
      <c r="Q304" s="2" t="str">
        <f t="shared" si="112"/>
        <v/>
      </c>
      <c r="R304" s="2"/>
      <c r="S304" s="2"/>
      <c r="T304" s="2"/>
      <c r="U304" s="18"/>
      <c r="V304" s="18"/>
      <c r="W304" s="18"/>
      <c r="X304" s="18"/>
      <c r="Y304" s="18"/>
      <c r="AA304" s="22"/>
      <c r="AB304" s="29"/>
      <c r="AC304" s="30"/>
      <c r="AD304" s="29"/>
      <c r="AE304" s="29"/>
      <c r="AF304" s="11"/>
      <c r="AG304" s="31"/>
      <c r="AH304" s="31"/>
    </row>
    <row r="305" spans="1:34" s="26" customFormat="1" ht="63.75" hidden="1" customHeight="1" x14ac:dyDescent="0.25">
      <c r="A305" s="20"/>
      <c r="B305" s="20"/>
      <c r="C305" s="21"/>
      <c r="D305" s="22"/>
      <c r="E305" s="23"/>
      <c r="F305" s="23"/>
      <c r="G305" s="46"/>
      <c r="H305" s="24"/>
      <c r="I305" s="25"/>
      <c r="L305" s="27"/>
      <c r="M305" s="28"/>
      <c r="P305" s="18"/>
      <c r="Q305" s="2" t="str">
        <f t="shared" si="112"/>
        <v/>
      </c>
      <c r="R305" s="2"/>
      <c r="S305" s="2"/>
      <c r="T305" s="2"/>
      <c r="U305" s="18"/>
      <c r="V305" s="18"/>
      <c r="W305" s="18"/>
      <c r="X305" s="18"/>
      <c r="Y305" s="18"/>
      <c r="AA305" s="22"/>
      <c r="AB305" s="29"/>
      <c r="AC305" s="30"/>
      <c r="AD305" s="29"/>
      <c r="AE305" s="29"/>
      <c r="AF305" s="11"/>
      <c r="AG305" s="31"/>
      <c r="AH305" s="31"/>
    </row>
    <row r="306" spans="1:34" s="26" customFormat="1" ht="63.75" hidden="1" customHeight="1" x14ac:dyDescent="0.25">
      <c r="A306" s="20"/>
      <c r="B306" s="20"/>
      <c r="C306" s="21"/>
      <c r="D306" s="22"/>
      <c r="E306" s="23"/>
      <c r="F306" s="23"/>
      <c r="G306" s="46"/>
      <c r="H306" s="24"/>
      <c r="I306" s="25"/>
      <c r="L306" s="27"/>
      <c r="M306" s="28"/>
      <c r="P306" s="18"/>
      <c r="Q306" s="2" t="str">
        <f t="shared" si="112"/>
        <v/>
      </c>
      <c r="R306" s="2"/>
      <c r="S306" s="2"/>
      <c r="T306" s="2"/>
      <c r="U306" s="18"/>
      <c r="V306" s="18"/>
      <c r="W306" s="18"/>
      <c r="X306" s="18"/>
      <c r="Y306" s="18"/>
      <c r="AA306" s="22"/>
      <c r="AB306" s="29"/>
      <c r="AC306" s="30"/>
      <c r="AD306" s="29"/>
      <c r="AE306" s="29"/>
      <c r="AF306" s="11"/>
      <c r="AG306" s="31"/>
      <c r="AH306" s="31"/>
    </row>
    <row r="307" spans="1:34" s="26" customFormat="1" ht="63.75" hidden="1" customHeight="1" x14ac:dyDescent="0.25">
      <c r="A307" s="20"/>
      <c r="B307" s="20"/>
      <c r="C307" s="21"/>
      <c r="D307" s="22"/>
      <c r="E307" s="23"/>
      <c r="F307" s="23"/>
      <c r="G307" s="46"/>
      <c r="H307" s="24"/>
      <c r="I307" s="25"/>
      <c r="L307" s="27"/>
      <c r="M307" s="28"/>
      <c r="P307" s="18"/>
      <c r="Q307" s="2" t="str">
        <f t="shared" si="112"/>
        <v/>
      </c>
      <c r="R307" s="2"/>
      <c r="S307" s="2"/>
      <c r="T307" s="2"/>
      <c r="U307" s="18"/>
      <c r="V307" s="18"/>
      <c r="W307" s="18"/>
      <c r="X307" s="18"/>
      <c r="Y307" s="18"/>
      <c r="AA307" s="22"/>
      <c r="AB307" s="29"/>
      <c r="AC307" s="30"/>
      <c r="AD307" s="29"/>
      <c r="AE307" s="29"/>
      <c r="AF307" s="11"/>
      <c r="AG307" s="31"/>
      <c r="AH307" s="31"/>
    </row>
    <row r="308" spans="1:34" s="26" customFormat="1" ht="63.75" hidden="1" customHeight="1" x14ac:dyDescent="0.25">
      <c r="A308" s="20"/>
      <c r="B308" s="20"/>
      <c r="C308" s="21"/>
      <c r="D308" s="22"/>
      <c r="E308" s="23"/>
      <c r="F308" s="23"/>
      <c r="G308" s="46"/>
      <c r="H308" s="24"/>
      <c r="I308" s="25"/>
      <c r="L308" s="27"/>
      <c r="M308" s="28"/>
      <c r="P308" s="18"/>
      <c r="Q308" s="2" t="str">
        <f t="shared" si="112"/>
        <v/>
      </c>
      <c r="R308" s="2"/>
      <c r="S308" s="2"/>
      <c r="T308" s="2"/>
      <c r="U308" s="18"/>
      <c r="V308" s="18"/>
      <c r="W308" s="18"/>
      <c r="X308" s="18"/>
      <c r="Y308" s="18"/>
      <c r="AA308" s="22"/>
      <c r="AB308" s="29"/>
      <c r="AC308" s="30"/>
      <c r="AD308" s="29"/>
      <c r="AE308" s="29"/>
      <c r="AF308" s="11"/>
      <c r="AG308" s="31"/>
      <c r="AH308" s="31"/>
    </row>
    <row r="309" spans="1:34" s="26" customFormat="1" ht="66" hidden="1" customHeight="1" x14ac:dyDescent="0.25">
      <c r="A309" s="20"/>
      <c r="B309" s="20"/>
      <c r="C309" s="21"/>
      <c r="D309" s="22"/>
      <c r="E309" s="23"/>
      <c r="F309" s="23"/>
      <c r="G309" s="46"/>
      <c r="H309" s="24"/>
      <c r="I309" s="25"/>
      <c r="L309" s="27"/>
      <c r="M309" s="28"/>
      <c r="P309" s="18"/>
      <c r="Q309" s="2" t="str">
        <f t="shared" si="112"/>
        <v/>
      </c>
      <c r="R309" s="2"/>
      <c r="S309" s="2"/>
      <c r="T309" s="2"/>
      <c r="U309" s="18"/>
      <c r="V309" s="18"/>
      <c r="W309" s="18"/>
      <c r="X309" s="18"/>
      <c r="Y309" s="18"/>
      <c r="AA309" s="22"/>
      <c r="AB309" s="29"/>
      <c r="AC309" s="30"/>
      <c r="AD309" s="29"/>
      <c r="AE309" s="29"/>
      <c r="AF309" s="11"/>
      <c r="AG309" s="31"/>
      <c r="AH309" s="31"/>
    </row>
    <row r="310" spans="1:34" s="26" customFormat="1" ht="81" hidden="1" customHeight="1" x14ac:dyDescent="0.25">
      <c r="A310" s="20"/>
      <c r="B310" s="20"/>
      <c r="C310" s="21"/>
      <c r="D310" s="22"/>
      <c r="E310" s="23"/>
      <c r="F310" s="23"/>
      <c r="G310" s="46"/>
      <c r="H310" s="24"/>
      <c r="I310" s="25"/>
      <c r="L310" s="27"/>
      <c r="M310" s="28"/>
      <c r="P310" s="18"/>
      <c r="Q310" s="2" t="str">
        <f t="shared" si="112"/>
        <v/>
      </c>
      <c r="R310" s="2"/>
      <c r="S310" s="2"/>
      <c r="T310" s="2"/>
      <c r="U310" s="18"/>
      <c r="V310" s="18"/>
      <c r="W310" s="18"/>
      <c r="X310" s="18"/>
      <c r="Y310" s="18"/>
      <c r="AA310" s="22"/>
      <c r="AB310" s="29"/>
      <c r="AC310" s="30"/>
      <c r="AD310" s="29"/>
      <c r="AE310" s="29"/>
      <c r="AF310" s="11"/>
      <c r="AG310" s="31"/>
      <c r="AH310" s="31"/>
    </row>
    <row r="311" spans="1:34" s="26" customFormat="1" ht="62.25" hidden="1" customHeight="1" x14ac:dyDescent="0.25">
      <c r="A311" s="20"/>
      <c r="B311" s="20"/>
      <c r="C311" s="21"/>
      <c r="D311" s="22"/>
      <c r="E311" s="23"/>
      <c r="F311" s="23"/>
      <c r="G311" s="46"/>
      <c r="H311" s="24"/>
      <c r="I311" s="25"/>
      <c r="L311" s="27"/>
      <c r="M311" s="28"/>
      <c r="P311" s="18"/>
      <c r="Q311" s="2" t="str">
        <f t="shared" si="112"/>
        <v/>
      </c>
      <c r="R311" s="2"/>
      <c r="S311" s="2"/>
      <c r="T311" s="2"/>
      <c r="U311" s="18"/>
      <c r="V311" s="18"/>
      <c r="W311" s="18"/>
      <c r="X311" s="18"/>
      <c r="Y311" s="18"/>
      <c r="AA311" s="22"/>
      <c r="AB311" s="29"/>
      <c r="AC311" s="30"/>
      <c r="AD311" s="29"/>
      <c r="AE311" s="29"/>
      <c r="AF311" s="11"/>
      <c r="AG311" s="31"/>
      <c r="AH311" s="31"/>
    </row>
    <row r="312" spans="1:34" s="26" customFormat="1" hidden="1" x14ac:dyDescent="0.25">
      <c r="A312" s="20"/>
      <c r="B312" s="20"/>
      <c r="C312" s="21"/>
      <c r="D312" s="22"/>
      <c r="E312" s="23"/>
      <c r="F312" s="23"/>
      <c r="G312" s="46"/>
      <c r="H312" s="24"/>
      <c r="I312" s="25"/>
      <c r="L312" s="27"/>
      <c r="M312" s="28"/>
      <c r="P312" s="18"/>
      <c r="Q312" s="2" t="str">
        <f t="shared" si="112"/>
        <v/>
      </c>
      <c r="R312" s="2"/>
      <c r="S312" s="2"/>
      <c r="T312" s="2"/>
      <c r="U312" s="18"/>
      <c r="V312" s="18"/>
      <c r="W312" s="18"/>
      <c r="X312" s="18"/>
      <c r="Y312" s="18"/>
      <c r="AA312" s="22"/>
      <c r="AB312" s="29"/>
      <c r="AC312" s="30"/>
      <c r="AD312" s="29"/>
      <c r="AE312" s="29"/>
      <c r="AF312" s="11"/>
      <c r="AG312" s="31"/>
      <c r="AH312" s="31"/>
    </row>
    <row r="313" spans="1:34" s="26" customFormat="1" hidden="1" x14ac:dyDescent="0.25">
      <c r="A313" s="20"/>
      <c r="B313" s="20"/>
      <c r="C313" s="21"/>
      <c r="D313" s="22"/>
      <c r="E313" s="23"/>
      <c r="F313" s="23"/>
      <c r="G313" s="46"/>
      <c r="H313" s="24"/>
      <c r="I313" s="25"/>
      <c r="L313" s="27"/>
      <c r="M313" s="28"/>
      <c r="P313" s="18"/>
      <c r="Q313" s="2" t="str">
        <f t="shared" si="112"/>
        <v/>
      </c>
      <c r="R313" s="2"/>
      <c r="S313" s="2"/>
      <c r="T313" s="2"/>
      <c r="U313" s="18"/>
      <c r="V313" s="18"/>
      <c r="W313" s="18"/>
      <c r="X313" s="18"/>
      <c r="Y313" s="18"/>
      <c r="AA313" s="22"/>
      <c r="AB313" s="29"/>
      <c r="AC313" s="30"/>
      <c r="AD313" s="29"/>
      <c r="AE313" s="29"/>
      <c r="AF313" s="11"/>
      <c r="AG313" s="31"/>
      <c r="AH313" s="31"/>
    </row>
    <row r="314" spans="1:34" s="26" customFormat="1" hidden="1" x14ac:dyDescent="0.25">
      <c r="A314" s="20"/>
      <c r="B314" s="20"/>
      <c r="C314" s="21"/>
      <c r="D314" s="22"/>
      <c r="E314" s="23"/>
      <c r="F314" s="23"/>
      <c r="G314" s="46"/>
      <c r="H314" s="24"/>
      <c r="I314" s="25"/>
      <c r="L314" s="27"/>
      <c r="M314" s="28"/>
      <c r="P314" s="18"/>
      <c r="Q314" s="2" t="str">
        <f t="shared" si="112"/>
        <v/>
      </c>
      <c r="R314" s="2"/>
      <c r="S314" s="2"/>
      <c r="T314" s="2"/>
      <c r="U314" s="18"/>
      <c r="V314" s="18"/>
      <c r="W314" s="18"/>
      <c r="X314" s="18"/>
      <c r="Y314" s="18"/>
      <c r="AA314" s="22"/>
      <c r="AB314" s="29"/>
      <c r="AC314" s="30"/>
      <c r="AD314" s="29"/>
      <c r="AE314" s="29"/>
      <c r="AF314" s="11"/>
      <c r="AG314" s="31"/>
      <c r="AH314" s="31"/>
    </row>
    <row r="315" spans="1:34" s="26" customFormat="1" hidden="1" x14ac:dyDescent="0.25">
      <c r="A315" s="20"/>
      <c r="B315" s="20"/>
      <c r="C315" s="21"/>
      <c r="D315" s="22"/>
      <c r="E315" s="23"/>
      <c r="F315" s="23"/>
      <c r="G315" s="46"/>
      <c r="H315" s="24"/>
      <c r="I315" s="25"/>
      <c r="L315" s="27"/>
      <c r="M315" s="28"/>
      <c r="P315" s="18"/>
      <c r="Q315" s="2" t="str">
        <f t="shared" si="112"/>
        <v/>
      </c>
      <c r="R315" s="2"/>
      <c r="S315" s="2"/>
      <c r="T315" s="2"/>
      <c r="U315" s="18"/>
      <c r="V315" s="18"/>
      <c r="W315" s="18"/>
      <c r="X315" s="18"/>
      <c r="Y315" s="18"/>
      <c r="AA315" s="22"/>
      <c r="AB315" s="29"/>
      <c r="AC315" s="30"/>
      <c r="AD315" s="29"/>
      <c r="AE315" s="29"/>
      <c r="AF315" s="11"/>
      <c r="AG315" s="31"/>
      <c r="AH315" s="31"/>
    </row>
    <row r="316" spans="1:34" s="26" customFormat="1" hidden="1" x14ac:dyDescent="0.25">
      <c r="A316" s="20"/>
      <c r="B316" s="20"/>
      <c r="C316" s="21"/>
      <c r="D316" s="22"/>
      <c r="E316" s="23"/>
      <c r="F316" s="23"/>
      <c r="G316" s="46"/>
      <c r="H316" s="24"/>
      <c r="I316" s="25"/>
      <c r="L316" s="27"/>
      <c r="M316" s="28"/>
      <c r="P316" s="18"/>
      <c r="Q316" s="2" t="str">
        <f t="shared" si="112"/>
        <v/>
      </c>
      <c r="R316" s="2"/>
      <c r="S316" s="2"/>
      <c r="T316" s="2"/>
      <c r="U316" s="18"/>
      <c r="V316" s="18"/>
      <c r="W316" s="18"/>
      <c r="X316" s="18"/>
      <c r="Y316" s="18"/>
      <c r="AA316" s="22"/>
      <c r="AB316" s="29"/>
      <c r="AC316" s="30"/>
      <c r="AD316" s="29"/>
      <c r="AE316" s="29"/>
      <c r="AF316" s="11"/>
      <c r="AG316" s="31"/>
      <c r="AH316" s="31"/>
    </row>
    <row r="317" spans="1:34" s="26" customFormat="1" ht="75" hidden="1" customHeight="1" x14ac:dyDescent="0.25">
      <c r="A317" s="20"/>
      <c r="B317" s="20"/>
      <c r="C317" s="21"/>
      <c r="D317" s="22"/>
      <c r="E317" s="23"/>
      <c r="F317" s="23"/>
      <c r="G317" s="46"/>
      <c r="H317" s="24"/>
      <c r="I317" s="25"/>
      <c r="L317" s="27"/>
      <c r="M317" s="28"/>
      <c r="P317" s="18"/>
      <c r="Q317" s="2" t="str">
        <f t="shared" si="112"/>
        <v/>
      </c>
      <c r="R317" s="2"/>
      <c r="S317" s="2"/>
      <c r="T317" s="2"/>
      <c r="U317" s="18"/>
      <c r="V317" s="18"/>
      <c r="W317" s="18"/>
      <c r="X317" s="18"/>
      <c r="Y317" s="18"/>
      <c r="AA317" s="22"/>
      <c r="AB317" s="29"/>
      <c r="AC317" s="30"/>
      <c r="AD317" s="29"/>
      <c r="AE317" s="29"/>
      <c r="AF317" s="11"/>
      <c r="AG317" s="31"/>
      <c r="AH317" s="31"/>
    </row>
    <row r="318" spans="1:34" s="26" customFormat="1" hidden="1" x14ac:dyDescent="0.25">
      <c r="A318" s="20"/>
      <c r="B318" s="20"/>
      <c r="C318" s="21"/>
      <c r="D318" s="22"/>
      <c r="E318" s="23"/>
      <c r="F318" s="23"/>
      <c r="G318" s="46"/>
      <c r="H318" s="24"/>
      <c r="I318" s="25"/>
      <c r="L318" s="27"/>
      <c r="M318" s="28"/>
      <c r="P318" s="18"/>
      <c r="Q318" s="2" t="str">
        <f t="shared" si="112"/>
        <v/>
      </c>
      <c r="R318" s="2"/>
      <c r="S318" s="2"/>
      <c r="T318" s="2"/>
      <c r="U318" s="18"/>
      <c r="V318" s="18"/>
      <c r="W318" s="18"/>
      <c r="X318" s="18"/>
      <c r="Y318" s="18"/>
      <c r="AA318" s="22"/>
      <c r="AB318" s="29"/>
      <c r="AC318" s="30"/>
      <c r="AD318" s="29"/>
      <c r="AE318" s="29"/>
      <c r="AF318" s="11"/>
      <c r="AG318" s="31"/>
      <c r="AH318" s="31"/>
    </row>
    <row r="319" spans="1:34" s="26" customFormat="1" ht="64.5" hidden="1" customHeight="1" x14ac:dyDescent="0.25">
      <c r="A319" s="20"/>
      <c r="B319" s="20"/>
      <c r="C319" s="21"/>
      <c r="D319" s="22"/>
      <c r="E319" s="23"/>
      <c r="F319" s="23"/>
      <c r="G319" s="46"/>
      <c r="H319" s="24"/>
      <c r="I319" s="25"/>
      <c r="L319" s="27"/>
      <c r="M319" s="28"/>
      <c r="P319" s="18"/>
      <c r="Q319" s="2" t="str">
        <f t="shared" si="112"/>
        <v/>
      </c>
      <c r="R319" s="2"/>
      <c r="S319" s="2"/>
      <c r="T319" s="2"/>
      <c r="U319" s="18"/>
      <c r="V319" s="18"/>
      <c r="W319" s="18"/>
      <c r="X319" s="18"/>
      <c r="Y319" s="18"/>
      <c r="AA319" s="22"/>
      <c r="AB319" s="29"/>
      <c r="AC319" s="30"/>
      <c r="AD319" s="29"/>
      <c r="AE319" s="29"/>
      <c r="AF319" s="11"/>
      <c r="AG319" s="31"/>
      <c r="AH319" s="31"/>
    </row>
    <row r="320" spans="1:34" s="26" customFormat="1" ht="60" hidden="1" customHeight="1" x14ac:dyDescent="0.25">
      <c r="A320" s="20"/>
      <c r="B320" s="20"/>
      <c r="C320" s="21"/>
      <c r="D320" s="22"/>
      <c r="E320" s="23"/>
      <c r="F320" s="23"/>
      <c r="G320" s="46"/>
      <c r="H320" s="24"/>
      <c r="I320" s="25"/>
      <c r="L320" s="27"/>
      <c r="M320" s="28"/>
      <c r="P320" s="18"/>
      <c r="Q320" s="2" t="str">
        <f t="shared" si="112"/>
        <v/>
      </c>
      <c r="R320" s="2"/>
      <c r="S320" s="2"/>
      <c r="T320" s="2"/>
      <c r="U320" s="18"/>
      <c r="V320" s="18"/>
      <c r="W320" s="18"/>
      <c r="X320" s="18"/>
      <c r="Y320" s="18"/>
      <c r="AA320" s="22"/>
      <c r="AB320" s="29"/>
      <c r="AC320" s="30"/>
      <c r="AD320" s="29"/>
      <c r="AE320" s="29"/>
      <c r="AF320" s="11"/>
      <c r="AG320" s="31"/>
      <c r="AH320" s="31"/>
    </row>
    <row r="321" spans="1:34" s="26" customFormat="1" ht="88.5" hidden="1" customHeight="1" x14ac:dyDescent="0.25">
      <c r="A321" s="20"/>
      <c r="B321" s="20"/>
      <c r="C321" s="21"/>
      <c r="D321" s="22"/>
      <c r="E321" s="23"/>
      <c r="F321" s="23"/>
      <c r="G321" s="46"/>
      <c r="H321" s="24"/>
      <c r="I321" s="25"/>
      <c r="L321" s="27"/>
      <c r="M321" s="28"/>
      <c r="P321" s="18"/>
      <c r="Q321" s="2" t="str">
        <f t="shared" si="112"/>
        <v/>
      </c>
      <c r="R321" s="2"/>
      <c r="S321" s="2"/>
      <c r="T321" s="2"/>
      <c r="U321" s="18"/>
      <c r="V321" s="18"/>
      <c r="W321" s="18"/>
      <c r="X321" s="18"/>
      <c r="Y321" s="18"/>
      <c r="AA321" s="22"/>
      <c r="AB321" s="29"/>
      <c r="AC321" s="30"/>
      <c r="AD321" s="29"/>
      <c r="AE321" s="29"/>
      <c r="AF321" s="11"/>
      <c r="AG321" s="31"/>
      <c r="AH321" s="31"/>
    </row>
    <row r="322" spans="1:34" s="26" customFormat="1" hidden="1" x14ac:dyDescent="0.25">
      <c r="A322" s="20"/>
      <c r="B322" s="20"/>
      <c r="C322" s="21"/>
      <c r="D322" s="22"/>
      <c r="E322" s="23"/>
      <c r="F322" s="23"/>
      <c r="G322" s="46"/>
      <c r="H322" s="24"/>
      <c r="I322" s="25"/>
      <c r="L322" s="27"/>
      <c r="M322" s="28"/>
      <c r="P322" s="18"/>
      <c r="Q322" s="2" t="str">
        <f t="shared" si="112"/>
        <v/>
      </c>
      <c r="R322" s="2"/>
      <c r="S322" s="2"/>
      <c r="T322" s="2"/>
      <c r="U322" s="18"/>
      <c r="V322" s="18"/>
      <c r="W322" s="18"/>
      <c r="X322" s="18"/>
      <c r="Y322" s="18"/>
      <c r="AA322" s="22"/>
      <c r="AB322" s="29"/>
      <c r="AC322" s="30"/>
      <c r="AD322" s="29"/>
      <c r="AE322" s="29"/>
      <c r="AF322" s="11"/>
      <c r="AG322" s="31"/>
      <c r="AH322" s="31"/>
    </row>
    <row r="323" spans="1:34" s="26" customFormat="1" hidden="1" x14ac:dyDescent="0.25">
      <c r="A323" s="20"/>
      <c r="B323" s="20"/>
      <c r="C323" s="21"/>
      <c r="D323" s="22"/>
      <c r="E323" s="23"/>
      <c r="F323" s="23"/>
      <c r="G323" s="46"/>
      <c r="H323" s="24"/>
      <c r="I323" s="25"/>
      <c r="L323" s="27"/>
      <c r="M323" s="28"/>
      <c r="P323" s="18"/>
      <c r="Q323" s="2" t="str">
        <f t="shared" si="112"/>
        <v/>
      </c>
      <c r="R323" s="2"/>
      <c r="S323" s="2"/>
      <c r="T323" s="2"/>
      <c r="U323" s="18"/>
      <c r="V323" s="18"/>
      <c r="W323" s="18"/>
      <c r="X323" s="18"/>
      <c r="Y323" s="18"/>
      <c r="AA323" s="22"/>
      <c r="AB323" s="29"/>
      <c r="AC323" s="30"/>
      <c r="AD323" s="29"/>
      <c r="AE323" s="29"/>
      <c r="AF323" s="11"/>
      <c r="AG323" s="31"/>
      <c r="AH323" s="31"/>
    </row>
    <row r="324" spans="1:34" s="26" customFormat="1" hidden="1" x14ac:dyDescent="0.25">
      <c r="A324" s="20"/>
      <c r="B324" s="20"/>
      <c r="C324" s="21"/>
      <c r="D324" s="22"/>
      <c r="E324" s="23"/>
      <c r="F324" s="23"/>
      <c r="G324" s="46"/>
      <c r="H324" s="24"/>
      <c r="I324" s="25"/>
      <c r="L324" s="27"/>
      <c r="M324" s="28"/>
      <c r="P324" s="18"/>
      <c r="Q324" s="2" t="str">
        <f t="shared" si="112"/>
        <v/>
      </c>
      <c r="R324" s="2"/>
      <c r="S324" s="2"/>
      <c r="T324" s="2"/>
      <c r="U324" s="18"/>
      <c r="V324" s="18"/>
      <c r="W324" s="18"/>
      <c r="X324" s="18"/>
      <c r="Y324" s="18"/>
      <c r="AA324" s="22"/>
      <c r="AB324" s="29"/>
      <c r="AC324" s="30"/>
      <c r="AD324" s="29"/>
      <c r="AE324" s="29"/>
      <c r="AF324" s="11"/>
      <c r="AG324" s="31"/>
      <c r="AH324" s="31"/>
    </row>
    <row r="325" spans="1:34" s="26" customFormat="1" hidden="1" x14ac:dyDescent="0.25">
      <c r="A325" s="20"/>
      <c r="B325" s="20"/>
      <c r="C325" s="21"/>
      <c r="D325" s="22"/>
      <c r="E325" s="23"/>
      <c r="F325" s="23"/>
      <c r="G325" s="46"/>
      <c r="H325" s="24"/>
      <c r="I325" s="25"/>
      <c r="L325" s="27"/>
      <c r="M325" s="28"/>
      <c r="P325" s="18"/>
      <c r="Q325" s="2" t="str">
        <f t="shared" si="112"/>
        <v/>
      </c>
      <c r="R325" s="2"/>
      <c r="S325" s="2"/>
      <c r="T325" s="2"/>
      <c r="U325" s="18"/>
      <c r="V325" s="18"/>
      <c r="W325" s="18"/>
      <c r="X325" s="18"/>
      <c r="Y325" s="18"/>
      <c r="AA325" s="22"/>
      <c r="AB325" s="29"/>
      <c r="AC325" s="30"/>
      <c r="AD325" s="29"/>
      <c r="AE325" s="29"/>
      <c r="AF325" s="11"/>
      <c r="AG325" s="31"/>
      <c r="AH325" s="31"/>
    </row>
    <row r="326" spans="1:34" s="26" customFormat="1" ht="62.25" hidden="1" customHeight="1" x14ac:dyDescent="0.25">
      <c r="A326" s="20"/>
      <c r="B326" s="20"/>
      <c r="C326" s="21"/>
      <c r="D326" s="22"/>
      <c r="E326" s="23"/>
      <c r="F326" s="23"/>
      <c r="G326" s="46"/>
      <c r="H326" s="24"/>
      <c r="I326" s="25"/>
      <c r="L326" s="27"/>
      <c r="M326" s="28"/>
      <c r="P326" s="18"/>
      <c r="Q326" s="2" t="str">
        <f t="shared" si="112"/>
        <v/>
      </c>
      <c r="R326" s="2"/>
      <c r="S326" s="2"/>
      <c r="T326" s="2"/>
      <c r="U326" s="18"/>
      <c r="V326" s="18"/>
      <c r="W326" s="18"/>
      <c r="X326" s="18"/>
      <c r="Y326" s="18"/>
      <c r="AA326" s="22"/>
      <c r="AB326" s="29"/>
      <c r="AC326" s="30"/>
      <c r="AD326" s="29"/>
      <c r="AE326" s="29"/>
      <c r="AF326" s="11"/>
      <c r="AG326" s="31"/>
      <c r="AH326" s="31"/>
    </row>
    <row r="327" spans="1:34" s="26" customFormat="1" ht="66" hidden="1" customHeight="1" x14ac:dyDescent="0.25">
      <c r="A327" s="20"/>
      <c r="B327" s="20"/>
      <c r="C327" s="21"/>
      <c r="D327" s="22"/>
      <c r="E327" s="23"/>
      <c r="F327" s="23"/>
      <c r="G327" s="46"/>
      <c r="H327" s="24"/>
      <c r="I327" s="25"/>
      <c r="L327" s="27"/>
      <c r="M327" s="28"/>
      <c r="P327" s="18"/>
      <c r="Q327" s="2" t="str">
        <f t="shared" si="112"/>
        <v/>
      </c>
      <c r="R327" s="2"/>
      <c r="S327" s="2"/>
      <c r="T327" s="2"/>
      <c r="U327" s="18"/>
      <c r="V327" s="18"/>
      <c r="W327" s="18"/>
      <c r="X327" s="18"/>
      <c r="Y327" s="18"/>
      <c r="AA327" s="22"/>
      <c r="AB327" s="29"/>
      <c r="AC327" s="30"/>
      <c r="AD327" s="29"/>
      <c r="AE327" s="29"/>
      <c r="AF327" s="11"/>
      <c r="AG327" s="31"/>
      <c r="AH327" s="31"/>
    </row>
    <row r="328" spans="1:34" s="26" customFormat="1" ht="58.5" hidden="1" customHeight="1" x14ac:dyDescent="0.25">
      <c r="A328" s="20"/>
      <c r="B328" s="20"/>
      <c r="C328" s="21"/>
      <c r="D328" s="22"/>
      <c r="E328" s="23"/>
      <c r="F328" s="23"/>
      <c r="G328" s="46"/>
      <c r="H328" s="24"/>
      <c r="I328" s="25"/>
      <c r="L328" s="27"/>
      <c r="M328" s="28"/>
      <c r="P328" s="18"/>
      <c r="Q328" s="2" t="str">
        <f t="shared" si="112"/>
        <v/>
      </c>
      <c r="R328" s="2"/>
      <c r="S328" s="2"/>
      <c r="T328" s="2"/>
      <c r="U328" s="18"/>
      <c r="V328" s="18"/>
      <c r="W328" s="18"/>
      <c r="X328" s="18"/>
      <c r="Y328" s="18"/>
      <c r="AA328" s="22"/>
      <c r="AB328" s="29"/>
      <c r="AC328" s="30"/>
      <c r="AD328" s="29"/>
      <c r="AE328" s="29"/>
      <c r="AF328" s="11"/>
      <c r="AG328" s="31"/>
      <c r="AH328" s="31"/>
    </row>
    <row r="329" spans="1:34" s="26" customFormat="1" ht="62.25" hidden="1" customHeight="1" x14ac:dyDescent="0.25">
      <c r="A329" s="20"/>
      <c r="B329" s="20"/>
      <c r="C329" s="21"/>
      <c r="D329" s="22"/>
      <c r="E329" s="23"/>
      <c r="F329" s="23"/>
      <c r="G329" s="46"/>
      <c r="H329" s="24"/>
      <c r="I329" s="25"/>
      <c r="L329" s="27"/>
      <c r="M329" s="28"/>
      <c r="P329" s="18"/>
      <c r="Q329" s="2" t="str">
        <f t="shared" si="112"/>
        <v/>
      </c>
      <c r="R329" s="2"/>
      <c r="S329" s="2"/>
      <c r="T329" s="2"/>
      <c r="U329" s="18"/>
      <c r="V329" s="18"/>
      <c r="W329" s="18"/>
      <c r="X329" s="18"/>
      <c r="Y329" s="18"/>
      <c r="AA329" s="22"/>
      <c r="AB329" s="29"/>
      <c r="AC329" s="30"/>
      <c r="AD329" s="29"/>
      <c r="AE329" s="29"/>
      <c r="AF329" s="11"/>
      <c r="AG329" s="31"/>
      <c r="AH329" s="31"/>
    </row>
    <row r="330" spans="1:34" s="26" customFormat="1" hidden="1" x14ac:dyDescent="0.25">
      <c r="A330" s="20"/>
      <c r="B330" s="20"/>
      <c r="C330" s="21"/>
      <c r="D330" s="22"/>
      <c r="E330" s="23"/>
      <c r="F330" s="23"/>
      <c r="G330" s="46"/>
      <c r="H330" s="24"/>
      <c r="I330" s="25"/>
      <c r="L330" s="27"/>
      <c r="M330" s="28"/>
      <c r="P330" s="18"/>
      <c r="Q330" s="2" t="str">
        <f t="shared" si="112"/>
        <v/>
      </c>
      <c r="R330" s="2"/>
      <c r="S330" s="2"/>
      <c r="T330" s="2"/>
      <c r="U330" s="18"/>
      <c r="V330" s="18"/>
      <c r="W330" s="18"/>
      <c r="X330" s="18"/>
      <c r="Y330" s="18"/>
      <c r="AA330" s="22"/>
      <c r="AB330" s="29"/>
      <c r="AC330" s="30"/>
      <c r="AD330" s="29"/>
      <c r="AE330" s="29"/>
      <c r="AF330" s="11"/>
      <c r="AG330" s="31"/>
      <c r="AH330" s="31"/>
    </row>
    <row r="331" spans="1:34" s="26" customFormat="1" ht="65.25" hidden="1" customHeight="1" x14ac:dyDescent="0.25">
      <c r="A331" s="20"/>
      <c r="B331" s="20"/>
      <c r="C331" s="21"/>
      <c r="D331" s="22"/>
      <c r="E331" s="23"/>
      <c r="F331" s="23"/>
      <c r="G331" s="46"/>
      <c r="H331" s="24"/>
      <c r="I331" s="25"/>
      <c r="L331" s="27"/>
      <c r="M331" s="28"/>
      <c r="P331" s="18"/>
      <c r="Q331" s="2" t="str">
        <f t="shared" si="112"/>
        <v/>
      </c>
      <c r="R331" s="2"/>
      <c r="S331" s="2"/>
      <c r="T331" s="2"/>
      <c r="U331" s="18"/>
      <c r="V331" s="18"/>
      <c r="W331" s="18"/>
      <c r="X331" s="18"/>
      <c r="Y331" s="18"/>
      <c r="AA331" s="22"/>
      <c r="AB331" s="29"/>
      <c r="AC331" s="30"/>
      <c r="AD331" s="29"/>
      <c r="AE331" s="29"/>
      <c r="AF331" s="11"/>
      <c r="AG331" s="31"/>
      <c r="AH331" s="31"/>
    </row>
    <row r="332" spans="1:34" s="26" customFormat="1" ht="65.25" hidden="1" customHeight="1" x14ac:dyDescent="0.25">
      <c r="A332" s="20"/>
      <c r="B332" s="20"/>
      <c r="C332" s="21"/>
      <c r="D332" s="22"/>
      <c r="E332" s="23"/>
      <c r="F332" s="23"/>
      <c r="G332" s="46"/>
      <c r="H332" s="24"/>
      <c r="I332" s="25"/>
      <c r="L332" s="27"/>
      <c r="M332" s="28"/>
      <c r="P332" s="18"/>
      <c r="Q332" s="2" t="str">
        <f t="shared" si="112"/>
        <v/>
      </c>
      <c r="R332" s="2"/>
      <c r="S332" s="2"/>
      <c r="T332" s="2"/>
      <c r="U332" s="18"/>
      <c r="V332" s="18"/>
      <c r="W332" s="18"/>
      <c r="X332" s="18"/>
      <c r="Y332" s="18"/>
      <c r="AA332" s="22"/>
      <c r="AB332" s="29"/>
      <c r="AC332" s="30"/>
      <c r="AD332" s="29"/>
      <c r="AE332" s="29"/>
      <c r="AF332" s="11"/>
      <c r="AG332" s="31"/>
      <c r="AH332" s="31"/>
    </row>
    <row r="333" spans="1:34" s="26" customFormat="1" hidden="1" x14ac:dyDescent="0.25">
      <c r="A333" s="20"/>
      <c r="B333" s="20"/>
      <c r="C333" s="21"/>
      <c r="D333" s="22"/>
      <c r="E333" s="23"/>
      <c r="F333" s="23"/>
      <c r="G333" s="46"/>
      <c r="H333" s="24"/>
      <c r="I333" s="25"/>
      <c r="L333" s="27"/>
      <c r="M333" s="28"/>
      <c r="P333" s="18"/>
      <c r="Q333" s="2" t="str">
        <f t="shared" si="112"/>
        <v/>
      </c>
      <c r="R333" s="2"/>
      <c r="S333" s="2"/>
      <c r="T333" s="2"/>
      <c r="U333" s="18"/>
      <c r="V333" s="18"/>
      <c r="W333" s="18"/>
      <c r="X333" s="18"/>
      <c r="Y333" s="18"/>
      <c r="AA333" s="22"/>
      <c r="AB333" s="29"/>
      <c r="AC333" s="30"/>
      <c r="AD333" s="29"/>
      <c r="AE333" s="29"/>
      <c r="AF333" s="11"/>
      <c r="AG333" s="31"/>
      <c r="AH333" s="31"/>
    </row>
    <row r="334" spans="1:34" s="26" customFormat="1" hidden="1" x14ac:dyDescent="0.25">
      <c r="A334" s="20"/>
      <c r="B334" s="20"/>
      <c r="C334" s="21"/>
      <c r="D334" s="22"/>
      <c r="E334" s="23"/>
      <c r="F334" s="23"/>
      <c r="G334" s="46"/>
      <c r="H334" s="24"/>
      <c r="I334" s="25"/>
      <c r="L334" s="27"/>
      <c r="M334" s="28"/>
      <c r="P334" s="18"/>
      <c r="Q334" s="2" t="str">
        <f t="shared" si="112"/>
        <v/>
      </c>
      <c r="R334" s="2"/>
      <c r="S334" s="2"/>
      <c r="T334" s="2"/>
      <c r="U334" s="18"/>
      <c r="V334" s="18"/>
      <c r="W334" s="18"/>
      <c r="X334" s="18"/>
      <c r="Y334" s="18"/>
      <c r="AA334" s="22"/>
      <c r="AB334" s="29"/>
      <c r="AC334" s="30"/>
      <c r="AD334" s="29"/>
      <c r="AE334" s="29"/>
      <c r="AF334" s="11"/>
      <c r="AG334" s="31"/>
      <c r="AH334" s="31"/>
    </row>
    <row r="335" spans="1:34" s="26" customFormat="1" hidden="1" x14ac:dyDescent="0.25">
      <c r="A335" s="20"/>
      <c r="B335" s="20"/>
      <c r="C335" s="21"/>
      <c r="D335" s="22"/>
      <c r="E335" s="23"/>
      <c r="F335" s="23"/>
      <c r="G335" s="46"/>
      <c r="H335" s="24"/>
      <c r="I335" s="25"/>
      <c r="L335" s="27"/>
      <c r="M335" s="28"/>
      <c r="P335" s="18"/>
      <c r="Q335" s="2" t="str">
        <f t="shared" si="112"/>
        <v/>
      </c>
      <c r="R335" s="2"/>
      <c r="S335" s="2"/>
      <c r="T335" s="2"/>
      <c r="U335" s="18"/>
      <c r="V335" s="18"/>
      <c r="W335" s="18"/>
      <c r="X335" s="18"/>
      <c r="Y335" s="18"/>
      <c r="AA335" s="22"/>
      <c r="AB335" s="29"/>
      <c r="AC335" s="30"/>
      <c r="AD335" s="29"/>
      <c r="AE335" s="29"/>
      <c r="AF335" s="11"/>
      <c r="AG335" s="31"/>
      <c r="AH335" s="31"/>
    </row>
    <row r="336" spans="1:34" s="26" customFormat="1" hidden="1" x14ac:dyDescent="0.25">
      <c r="A336" s="20"/>
      <c r="B336" s="20"/>
      <c r="C336" s="21"/>
      <c r="D336" s="22"/>
      <c r="E336" s="23"/>
      <c r="F336" s="23"/>
      <c r="G336" s="46"/>
      <c r="H336" s="24"/>
      <c r="I336" s="25"/>
      <c r="L336" s="27"/>
      <c r="M336" s="28"/>
      <c r="P336" s="18"/>
      <c r="Q336" s="2" t="str">
        <f t="shared" si="112"/>
        <v/>
      </c>
      <c r="R336" s="2"/>
      <c r="S336" s="2"/>
      <c r="T336" s="2"/>
      <c r="U336" s="18"/>
      <c r="V336" s="18"/>
      <c r="W336" s="18"/>
      <c r="X336" s="18"/>
      <c r="Y336" s="18"/>
      <c r="AA336" s="22"/>
      <c r="AB336" s="29"/>
      <c r="AC336" s="30"/>
      <c r="AD336" s="29"/>
      <c r="AE336" s="29"/>
      <c r="AF336" s="11"/>
      <c r="AG336" s="31"/>
      <c r="AH336" s="31"/>
    </row>
    <row r="337" spans="1:34" s="26" customFormat="1" ht="65.25" hidden="1" customHeight="1" x14ac:dyDescent="0.25">
      <c r="A337" s="20"/>
      <c r="B337" s="20"/>
      <c r="C337" s="21"/>
      <c r="D337" s="22"/>
      <c r="E337" s="23"/>
      <c r="F337" s="23"/>
      <c r="G337" s="46"/>
      <c r="H337" s="24"/>
      <c r="I337" s="25"/>
      <c r="L337" s="27"/>
      <c r="M337" s="28"/>
      <c r="P337" s="18"/>
      <c r="Q337" s="2" t="str">
        <f t="shared" si="112"/>
        <v/>
      </c>
      <c r="R337" s="2"/>
      <c r="S337" s="2"/>
      <c r="T337" s="2"/>
      <c r="U337" s="18"/>
      <c r="V337" s="18"/>
      <c r="W337" s="18"/>
      <c r="X337" s="18"/>
      <c r="Y337" s="18"/>
      <c r="AA337" s="22"/>
      <c r="AB337" s="29"/>
      <c r="AC337" s="30"/>
      <c r="AD337" s="29"/>
      <c r="AE337" s="29"/>
      <c r="AF337" s="11"/>
      <c r="AG337" s="31"/>
      <c r="AH337" s="31"/>
    </row>
    <row r="338" spans="1:34" s="26" customFormat="1" hidden="1" x14ac:dyDescent="0.25">
      <c r="A338" s="20"/>
      <c r="B338" s="20"/>
      <c r="C338" s="21"/>
      <c r="D338" s="22"/>
      <c r="E338" s="23"/>
      <c r="F338" s="23"/>
      <c r="G338" s="46"/>
      <c r="H338" s="24"/>
      <c r="I338" s="25"/>
      <c r="L338" s="27"/>
      <c r="M338" s="28"/>
      <c r="P338" s="18"/>
      <c r="Q338" s="2" t="str">
        <f t="shared" si="112"/>
        <v/>
      </c>
      <c r="R338" s="2"/>
      <c r="S338" s="2"/>
      <c r="T338" s="2"/>
      <c r="U338" s="18"/>
      <c r="V338" s="18"/>
      <c r="W338" s="18"/>
      <c r="X338" s="18"/>
      <c r="Y338" s="18"/>
      <c r="AA338" s="22"/>
      <c r="AB338" s="29"/>
      <c r="AC338" s="30"/>
      <c r="AD338" s="29"/>
      <c r="AE338" s="29"/>
      <c r="AF338" s="11"/>
      <c r="AG338" s="31"/>
      <c r="AH338" s="31"/>
    </row>
    <row r="339" spans="1:34" s="26" customFormat="1" hidden="1" x14ac:dyDescent="0.25">
      <c r="A339" s="20"/>
      <c r="B339" s="20"/>
      <c r="C339" s="21"/>
      <c r="D339" s="22"/>
      <c r="E339" s="23"/>
      <c r="F339" s="23"/>
      <c r="G339" s="46"/>
      <c r="H339" s="24"/>
      <c r="I339" s="25"/>
      <c r="L339" s="27"/>
      <c r="M339" s="28"/>
      <c r="P339" s="18"/>
      <c r="Q339" s="2" t="str">
        <f t="shared" si="112"/>
        <v/>
      </c>
      <c r="R339" s="2"/>
      <c r="S339" s="2"/>
      <c r="T339" s="2"/>
      <c r="U339" s="18"/>
      <c r="V339" s="18"/>
      <c r="W339" s="18"/>
      <c r="X339" s="18"/>
      <c r="Y339" s="18"/>
      <c r="AA339" s="22"/>
      <c r="AB339" s="29"/>
      <c r="AC339" s="30"/>
      <c r="AD339" s="29"/>
      <c r="AE339" s="29"/>
      <c r="AF339" s="11"/>
      <c r="AG339" s="31"/>
      <c r="AH339" s="31"/>
    </row>
    <row r="340" spans="1:34" s="26" customFormat="1" hidden="1" x14ac:dyDescent="0.25">
      <c r="A340" s="20"/>
      <c r="B340" s="20"/>
      <c r="C340" s="21"/>
      <c r="D340" s="22"/>
      <c r="E340" s="23"/>
      <c r="F340" s="23"/>
      <c r="G340" s="46"/>
      <c r="H340" s="24"/>
      <c r="I340" s="25"/>
      <c r="L340" s="27"/>
      <c r="M340" s="28"/>
      <c r="P340" s="18"/>
      <c r="Q340" s="2" t="str">
        <f t="shared" si="112"/>
        <v/>
      </c>
      <c r="R340" s="2"/>
      <c r="S340" s="2"/>
      <c r="T340" s="2"/>
      <c r="U340" s="18"/>
      <c r="V340" s="18"/>
      <c r="W340" s="18"/>
      <c r="X340" s="18"/>
      <c r="Y340" s="18"/>
      <c r="AA340" s="22"/>
      <c r="AB340" s="29"/>
      <c r="AC340" s="30"/>
      <c r="AD340" s="29"/>
      <c r="AE340" s="29"/>
      <c r="AF340" s="11"/>
      <c r="AG340" s="31"/>
      <c r="AH340" s="31"/>
    </row>
    <row r="341" spans="1:34" s="26" customFormat="1" hidden="1" x14ac:dyDescent="0.25">
      <c r="A341" s="20"/>
      <c r="B341" s="20"/>
      <c r="C341" s="21"/>
      <c r="D341" s="22"/>
      <c r="E341" s="23"/>
      <c r="F341" s="23"/>
      <c r="G341" s="46"/>
      <c r="H341" s="24"/>
      <c r="I341" s="25"/>
      <c r="L341" s="27"/>
      <c r="M341" s="28"/>
      <c r="P341" s="18"/>
      <c r="Q341" s="2" t="str">
        <f t="shared" si="112"/>
        <v/>
      </c>
      <c r="R341" s="2"/>
      <c r="S341" s="2"/>
      <c r="T341" s="2"/>
      <c r="U341" s="18"/>
      <c r="V341" s="18"/>
      <c r="W341" s="18"/>
      <c r="X341" s="18"/>
      <c r="Y341" s="18"/>
      <c r="AA341" s="22"/>
      <c r="AB341" s="29"/>
      <c r="AC341" s="30"/>
      <c r="AD341" s="29"/>
      <c r="AE341" s="29"/>
      <c r="AF341" s="11"/>
      <c r="AG341" s="31"/>
      <c r="AH341" s="31"/>
    </row>
    <row r="342" spans="1:34" s="26" customFormat="1" hidden="1" x14ac:dyDescent="0.25">
      <c r="A342" s="20"/>
      <c r="B342" s="20"/>
      <c r="C342" s="21"/>
      <c r="D342" s="22"/>
      <c r="E342" s="23"/>
      <c r="F342" s="23"/>
      <c r="G342" s="46"/>
      <c r="H342" s="24"/>
      <c r="I342" s="25"/>
      <c r="L342" s="27"/>
      <c r="M342" s="28"/>
      <c r="P342" s="18"/>
      <c r="Q342" s="2" t="str">
        <f t="shared" si="112"/>
        <v/>
      </c>
      <c r="R342" s="2"/>
      <c r="S342" s="2"/>
      <c r="T342" s="2"/>
      <c r="U342" s="18"/>
      <c r="V342" s="18"/>
      <c r="W342" s="18"/>
      <c r="X342" s="18"/>
      <c r="Y342" s="18"/>
      <c r="AA342" s="22"/>
      <c r="AB342" s="29"/>
      <c r="AC342" s="30"/>
      <c r="AD342" s="29"/>
      <c r="AE342" s="29"/>
      <c r="AF342" s="11"/>
      <c r="AG342" s="31"/>
      <c r="AH342" s="31"/>
    </row>
    <row r="343" spans="1:34" s="26" customFormat="1" hidden="1" x14ac:dyDescent="0.25">
      <c r="A343" s="20"/>
      <c r="B343" s="20"/>
      <c r="C343" s="21"/>
      <c r="D343" s="22"/>
      <c r="E343" s="23"/>
      <c r="F343" s="23"/>
      <c r="G343" s="46"/>
      <c r="H343" s="24"/>
      <c r="I343" s="25"/>
      <c r="L343" s="27"/>
      <c r="M343" s="28"/>
      <c r="P343" s="18"/>
      <c r="Q343" s="2" t="str">
        <f t="shared" si="112"/>
        <v/>
      </c>
      <c r="R343" s="2"/>
      <c r="S343" s="2"/>
      <c r="T343" s="2"/>
      <c r="U343" s="18"/>
      <c r="V343" s="18"/>
      <c r="W343" s="18"/>
      <c r="X343" s="18"/>
      <c r="Y343" s="18"/>
      <c r="AA343" s="22"/>
      <c r="AB343" s="29"/>
      <c r="AC343" s="30"/>
      <c r="AD343" s="29"/>
      <c r="AE343" s="29"/>
      <c r="AF343" s="11"/>
      <c r="AG343" s="31"/>
      <c r="AH343" s="31"/>
    </row>
    <row r="344" spans="1:34" s="26" customFormat="1" hidden="1" x14ac:dyDescent="0.25">
      <c r="A344" s="20"/>
      <c r="B344" s="20"/>
      <c r="C344" s="21"/>
      <c r="D344" s="22"/>
      <c r="E344" s="23"/>
      <c r="F344" s="23"/>
      <c r="G344" s="46"/>
      <c r="H344" s="24"/>
      <c r="I344" s="25"/>
      <c r="L344" s="27"/>
      <c r="M344" s="28"/>
      <c r="P344" s="18"/>
      <c r="Q344" s="2" t="str">
        <f t="shared" si="112"/>
        <v/>
      </c>
      <c r="R344" s="2"/>
      <c r="S344" s="2"/>
      <c r="T344" s="2"/>
      <c r="U344" s="18"/>
      <c r="V344" s="18"/>
      <c r="W344" s="18"/>
      <c r="X344" s="18"/>
      <c r="Y344" s="18"/>
      <c r="AA344" s="22"/>
      <c r="AB344" s="29"/>
      <c r="AC344" s="30"/>
      <c r="AD344" s="29"/>
      <c r="AE344" s="29"/>
      <c r="AF344" s="11"/>
      <c r="AG344" s="31"/>
      <c r="AH344" s="31"/>
    </row>
    <row r="345" spans="1:34" s="26" customFormat="1" hidden="1" x14ac:dyDescent="0.25">
      <c r="A345" s="20"/>
      <c r="B345" s="20"/>
      <c r="C345" s="21"/>
      <c r="D345" s="22"/>
      <c r="E345" s="23"/>
      <c r="F345" s="23"/>
      <c r="G345" s="46"/>
      <c r="H345" s="24"/>
      <c r="I345" s="25"/>
      <c r="L345" s="27"/>
      <c r="M345" s="28"/>
      <c r="P345" s="18"/>
      <c r="Q345" s="2" t="str">
        <f t="shared" si="112"/>
        <v/>
      </c>
      <c r="R345" s="2"/>
      <c r="S345" s="2"/>
      <c r="T345" s="2"/>
      <c r="U345" s="18"/>
      <c r="V345" s="18"/>
      <c r="W345" s="18"/>
      <c r="X345" s="18"/>
      <c r="Y345" s="18"/>
      <c r="AA345" s="22"/>
      <c r="AB345" s="29"/>
      <c r="AC345" s="30"/>
      <c r="AD345" s="29"/>
      <c r="AE345" s="29"/>
      <c r="AF345" s="11"/>
      <c r="AG345" s="31"/>
      <c r="AH345" s="31"/>
    </row>
    <row r="346" spans="1:34" s="26" customFormat="1" hidden="1" x14ac:dyDescent="0.25">
      <c r="A346" s="20"/>
      <c r="B346" s="20"/>
      <c r="C346" s="21"/>
      <c r="D346" s="22"/>
      <c r="E346" s="23"/>
      <c r="F346" s="23"/>
      <c r="G346" s="46"/>
      <c r="H346" s="24"/>
      <c r="I346" s="25"/>
      <c r="L346" s="27"/>
      <c r="M346" s="28"/>
      <c r="P346" s="18"/>
      <c r="Q346" s="2" t="str">
        <f t="shared" si="112"/>
        <v/>
      </c>
      <c r="R346" s="2"/>
      <c r="S346" s="2"/>
      <c r="T346" s="2"/>
      <c r="U346" s="18"/>
      <c r="V346" s="18"/>
      <c r="W346" s="18"/>
      <c r="X346" s="18"/>
      <c r="Y346" s="18"/>
      <c r="AA346" s="22"/>
      <c r="AB346" s="29"/>
      <c r="AC346" s="30"/>
      <c r="AD346" s="29"/>
      <c r="AE346" s="29"/>
      <c r="AF346" s="11"/>
      <c r="AG346" s="31"/>
      <c r="AH346" s="31"/>
    </row>
    <row r="347" spans="1:34" s="26" customFormat="1" ht="101.25" hidden="1" customHeight="1" x14ac:dyDescent="0.25">
      <c r="A347" s="20"/>
      <c r="B347" s="20"/>
      <c r="C347" s="21"/>
      <c r="D347" s="22"/>
      <c r="E347" s="23"/>
      <c r="F347" s="23"/>
      <c r="G347" s="46"/>
      <c r="H347" s="24"/>
      <c r="I347" s="25"/>
      <c r="L347" s="27"/>
      <c r="M347" s="28"/>
      <c r="P347" s="18"/>
      <c r="Q347" s="2" t="str">
        <f t="shared" si="112"/>
        <v/>
      </c>
      <c r="R347" s="2"/>
      <c r="S347" s="2"/>
      <c r="T347" s="2"/>
      <c r="U347" s="18"/>
      <c r="V347" s="18"/>
      <c r="W347" s="18"/>
      <c r="X347" s="18"/>
      <c r="Y347" s="18"/>
      <c r="AA347" s="22"/>
      <c r="AB347" s="29"/>
      <c r="AC347" s="30"/>
      <c r="AD347" s="29"/>
      <c r="AE347" s="29"/>
      <c r="AF347" s="11"/>
      <c r="AG347" s="31"/>
      <c r="AH347" s="31"/>
    </row>
    <row r="348" spans="1:34" s="26" customFormat="1" hidden="1" x14ac:dyDescent="0.25">
      <c r="A348" s="20"/>
      <c r="B348" s="20"/>
      <c r="C348" s="21"/>
      <c r="D348" s="22"/>
      <c r="E348" s="23"/>
      <c r="F348" s="23"/>
      <c r="G348" s="46"/>
      <c r="H348" s="24"/>
      <c r="I348" s="25"/>
      <c r="L348" s="27"/>
      <c r="M348" s="28"/>
      <c r="P348" s="18"/>
      <c r="Q348" s="2" t="str">
        <f t="shared" si="112"/>
        <v/>
      </c>
      <c r="R348" s="2"/>
      <c r="S348" s="2"/>
      <c r="T348" s="2"/>
      <c r="U348" s="18"/>
      <c r="V348" s="18"/>
      <c r="W348" s="18"/>
      <c r="X348" s="18"/>
      <c r="Y348" s="18"/>
      <c r="AA348" s="22"/>
      <c r="AB348" s="29"/>
      <c r="AC348" s="30"/>
      <c r="AD348" s="29"/>
      <c r="AE348" s="29"/>
      <c r="AF348" s="11"/>
      <c r="AG348" s="31"/>
      <c r="AH348" s="31"/>
    </row>
    <row r="349" spans="1:34" s="26" customFormat="1" hidden="1" x14ac:dyDescent="0.25">
      <c r="A349" s="20"/>
      <c r="B349" s="20"/>
      <c r="C349" s="21"/>
      <c r="D349" s="22"/>
      <c r="E349" s="23"/>
      <c r="F349" s="23"/>
      <c r="G349" s="46"/>
      <c r="H349" s="24"/>
      <c r="I349" s="25"/>
      <c r="L349" s="27"/>
      <c r="M349" s="28"/>
      <c r="P349" s="18"/>
      <c r="Q349" s="2" t="str">
        <f t="shared" si="112"/>
        <v/>
      </c>
      <c r="R349" s="2"/>
      <c r="S349" s="2"/>
      <c r="T349" s="2"/>
      <c r="U349" s="18"/>
      <c r="V349" s="18"/>
      <c r="W349" s="18"/>
      <c r="X349" s="18"/>
      <c r="Y349" s="18"/>
      <c r="AA349" s="22"/>
      <c r="AB349" s="29"/>
      <c r="AC349" s="30"/>
      <c r="AD349" s="29"/>
      <c r="AE349" s="29"/>
      <c r="AF349" s="11"/>
      <c r="AG349" s="31"/>
      <c r="AH349" s="31"/>
    </row>
    <row r="350" spans="1:34" s="26" customFormat="1" hidden="1" x14ac:dyDescent="0.25">
      <c r="A350" s="20"/>
      <c r="B350" s="20"/>
      <c r="C350" s="21"/>
      <c r="D350" s="22"/>
      <c r="E350" s="23"/>
      <c r="F350" s="23"/>
      <c r="G350" s="46"/>
      <c r="H350" s="24"/>
      <c r="I350" s="25"/>
      <c r="L350" s="27"/>
      <c r="M350" s="28"/>
      <c r="P350" s="18"/>
      <c r="Q350" s="2" t="str">
        <f t="shared" si="112"/>
        <v/>
      </c>
      <c r="R350" s="2"/>
      <c r="S350" s="2"/>
      <c r="T350" s="2"/>
      <c r="U350" s="18"/>
      <c r="V350" s="18"/>
      <c r="W350" s="18"/>
      <c r="X350" s="18"/>
      <c r="Y350" s="18"/>
      <c r="AA350" s="22"/>
      <c r="AB350" s="29"/>
      <c r="AC350" s="30"/>
      <c r="AD350" s="29"/>
      <c r="AE350" s="29"/>
      <c r="AF350" s="11"/>
      <c r="AG350" s="31"/>
      <c r="AH350" s="31"/>
    </row>
    <row r="351" spans="1:34" s="26" customFormat="1" ht="77.25" hidden="1" customHeight="1" x14ac:dyDescent="0.25">
      <c r="A351" s="20"/>
      <c r="B351" s="20"/>
      <c r="C351" s="21"/>
      <c r="D351" s="22"/>
      <c r="E351" s="23"/>
      <c r="F351" s="23"/>
      <c r="G351" s="46"/>
      <c r="H351" s="24"/>
      <c r="I351" s="25"/>
      <c r="L351" s="27"/>
      <c r="M351" s="28"/>
      <c r="P351" s="18"/>
      <c r="Q351" s="2" t="str">
        <f t="shared" si="112"/>
        <v/>
      </c>
      <c r="R351" s="2"/>
      <c r="S351" s="2"/>
      <c r="T351" s="2"/>
      <c r="U351" s="18"/>
      <c r="V351" s="18"/>
      <c r="W351" s="18"/>
      <c r="X351" s="18"/>
      <c r="Y351" s="18"/>
      <c r="AA351" s="22"/>
      <c r="AB351" s="29"/>
      <c r="AC351" s="30"/>
      <c r="AD351" s="29"/>
      <c r="AE351" s="29"/>
      <c r="AF351" s="11"/>
      <c r="AG351" s="31"/>
      <c r="AH351" s="31"/>
    </row>
    <row r="352" spans="1:34" s="26" customFormat="1" hidden="1" x14ac:dyDescent="0.25">
      <c r="A352" s="20"/>
      <c r="B352" s="20"/>
      <c r="C352" s="21"/>
      <c r="D352" s="22"/>
      <c r="E352" s="23"/>
      <c r="F352" s="23"/>
      <c r="G352" s="46"/>
      <c r="H352" s="24"/>
      <c r="I352" s="25"/>
      <c r="L352" s="27"/>
      <c r="M352" s="28"/>
      <c r="P352" s="18"/>
      <c r="Q352" s="2" t="str">
        <f t="shared" si="112"/>
        <v/>
      </c>
      <c r="R352" s="2"/>
      <c r="S352" s="2"/>
      <c r="T352" s="2"/>
      <c r="U352" s="18"/>
      <c r="V352" s="18"/>
      <c r="W352" s="18"/>
      <c r="X352" s="18"/>
      <c r="Y352" s="18"/>
      <c r="AA352" s="22"/>
      <c r="AB352" s="29"/>
      <c r="AC352" s="30"/>
      <c r="AD352" s="29"/>
      <c r="AE352" s="29"/>
      <c r="AF352" s="11"/>
      <c r="AG352" s="31"/>
      <c r="AH352" s="31"/>
    </row>
    <row r="353" spans="1:34" s="26" customFormat="1" hidden="1" x14ac:dyDescent="0.25">
      <c r="A353" s="20"/>
      <c r="B353" s="20"/>
      <c r="C353" s="21"/>
      <c r="D353" s="22"/>
      <c r="E353" s="23"/>
      <c r="F353" s="23"/>
      <c r="G353" s="46"/>
      <c r="H353" s="24"/>
      <c r="I353" s="25"/>
      <c r="L353" s="27"/>
      <c r="M353" s="28"/>
      <c r="P353" s="18"/>
      <c r="Q353" s="2" t="str">
        <f t="shared" si="112"/>
        <v/>
      </c>
      <c r="R353" s="2"/>
      <c r="S353" s="2"/>
      <c r="T353" s="2"/>
      <c r="U353" s="18"/>
      <c r="V353" s="18"/>
      <c r="W353" s="18"/>
      <c r="X353" s="18"/>
      <c r="Y353" s="18"/>
      <c r="AA353" s="22"/>
      <c r="AB353" s="29"/>
      <c r="AC353" s="30"/>
      <c r="AD353" s="29"/>
      <c r="AE353" s="29"/>
      <c r="AF353" s="11"/>
      <c r="AG353" s="31"/>
      <c r="AH353" s="31"/>
    </row>
    <row r="354" spans="1:34" s="26" customFormat="1" hidden="1" x14ac:dyDescent="0.25">
      <c r="A354" s="20"/>
      <c r="B354" s="20"/>
      <c r="C354" s="21"/>
      <c r="D354" s="22"/>
      <c r="E354" s="23"/>
      <c r="F354" s="23"/>
      <c r="G354" s="46"/>
      <c r="H354" s="24"/>
      <c r="I354" s="25"/>
      <c r="L354" s="27"/>
      <c r="M354" s="28"/>
      <c r="P354" s="18"/>
      <c r="Q354" s="2" t="str">
        <f t="shared" si="112"/>
        <v/>
      </c>
      <c r="R354" s="2"/>
      <c r="S354" s="2"/>
      <c r="T354" s="2"/>
      <c r="U354" s="18"/>
      <c r="V354" s="18"/>
      <c r="W354" s="18"/>
      <c r="X354" s="18"/>
      <c r="Y354" s="18"/>
      <c r="AA354" s="22"/>
      <c r="AB354" s="29"/>
      <c r="AC354" s="30"/>
      <c r="AD354" s="29"/>
      <c r="AE354" s="29"/>
      <c r="AF354" s="11"/>
      <c r="AG354" s="31"/>
      <c r="AH354" s="31"/>
    </row>
    <row r="355" spans="1:34" s="26" customFormat="1" hidden="1" x14ac:dyDescent="0.25">
      <c r="A355" s="20"/>
      <c r="B355" s="20"/>
      <c r="C355" s="21"/>
      <c r="D355" s="22"/>
      <c r="E355" s="23"/>
      <c r="F355" s="23"/>
      <c r="G355" s="46"/>
      <c r="H355" s="24"/>
      <c r="I355" s="25"/>
      <c r="L355" s="27"/>
      <c r="M355" s="28"/>
      <c r="P355" s="18"/>
      <c r="Q355" s="2" t="str">
        <f t="shared" si="112"/>
        <v/>
      </c>
      <c r="R355" s="2"/>
      <c r="S355" s="2"/>
      <c r="T355" s="2"/>
      <c r="U355" s="18"/>
      <c r="V355" s="18"/>
      <c r="W355" s="18"/>
      <c r="X355" s="18"/>
      <c r="Y355" s="18"/>
      <c r="AA355" s="22"/>
      <c r="AB355" s="29"/>
      <c r="AC355" s="30"/>
      <c r="AD355" s="29"/>
      <c r="AE355" s="29"/>
      <c r="AF355" s="11"/>
      <c r="AG355" s="31"/>
      <c r="AH355" s="31"/>
    </row>
    <row r="356" spans="1:34" s="26" customFormat="1" hidden="1" x14ac:dyDescent="0.25">
      <c r="A356" s="20"/>
      <c r="B356" s="20"/>
      <c r="C356" s="21"/>
      <c r="D356" s="22"/>
      <c r="E356" s="23"/>
      <c r="F356" s="23"/>
      <c r="G356" s="46"/>
      <c r="H356" s="24"/>
      <c r="I356" s="25"/>
      <c r="L356" s="27"/>
      <c r="M356" s="28"/>
      <c r="P356" s="18"/>
      <c r="Q356" s="2" t="str">
        <f t="shared" si="112"/>
        <v/>
      </c>
      <c r="R356" s="2"/>
      <c r="S356" s="2"/>
      <c r="T356" s="2"/>
      <c r="U356" s="18"/>
      <c r="V356" s="18"/>
      <c r="W356" s="18"/>
      <c r="X356" s="18"/>
      <c r="Y356" s="18"/>
      <c r="AA356" s="22"/>
      <c r="AB356" s="29"/>
      <c r="AC356" s="30"/>
      <c r="AD356" s="29"/>
      <c r="AE356" s="29"/>
      <c r="AF356" s="11"/>
      <c r="AG356" s="31"/>
      <c r="AH356" s="31"/>
    </row>
    <row r="357" spans="1:34" s="26" customFormat="1" hidden="1" x14ac:dyDescent="0.25">
      <c r="A357" s="20"/>
      <c r="B357" s="20"/>
      <c r="C357" s="21"/>
      <c r="D357" s="22"/>
      <c r="E357" s="23"/>
      <c r="F357" s="23"/>
      <c r="G357" s="46"/>
      <c r="H357" s="24"/>
      <c r="I357" s="25"/>
      <c r="J357" s="32"/>
      <c r="K357" s="32"/>
      <c r="L357" s="27"/>
      <c r="M357" s="28"/>
      <c r="P357" s="18"/>
      <c r="Q357" s="2" t="str">
        <f t="shared" si="112"/>
        <v/>
      </c>
      <c r="R357" s="2"/>
      <c r="S357" s="2"/>
      <c r="T357" s="2"/>
      <c r="U357" s="18"/>
      <c r="V357" s="18"/>
      <c r="W357" s="18"/>
      <c r="X357" s="18"/>
      <c r="Y357" s="18"/>
      <c r="AA357" s="22"/>
      <c r="AB357" s="29"/>
      <c r="AC357" s="30"/>
      <c r="AD357" s="29"/>
      <c r="AE357" s="29"/>
      <c r="AF357" s="11"/>
      <c r="AG357" s="31"/>
      <c r="AH357" s="31"/>
    </row>
    <row r="358" spans="1:34" s="26" customFormat="1" ht="60" hidden="1" customHeight="1" x14ac:dyDescent="0.25">
      <c r="A358" s="20"/>
      <c r="B358" s="20"/>
      <c r="C358" s="21"/>
      <c r="D358" s="22"/>
      <c r="E358" s="23"/>
      <c r="F358" s="23"/>
      <c r="G358" s="46"/>
      <c r="H358" s="24"/>
      <c r="I358" s="25"/>
      <c r="L358" s="27"/>
      <c r="M358" s="28"/>
      <c r="P358" s="18"/>
      <c r="Q358" s="2" t="str">
        <f t="shared" si="112"/>
        <v/>
      </c>
      <c r="R358" s="2"/>
      <c r="S358" s="2"/>
      <c r="T358" s="2"/>
      <c r="U358" s="18"/>
      <c r="V358" s="18"/>
      <c r="W358" s="18"/>
      <c r="X358" s="18"/>
      <c r="Y358" s="18"/>
      <c r="AA358" s="22"/>
      <c r="AB358" s="29"/>
      <c r="AC358" s="30"/>
      <c r="AD358" s="29"/>
      <c r="AE358" s="29"/>
      <c r="AF358" s="11"/>
      <c r="AG358" s="31"/>
      <c r="AH358" s="31"/>
    </row>
    <row r="359" spans="1:34" s="26" customFormat="1" ht="64.5" hidden="1" customHeight="1" x14ac:dyDescent="0.25">
      <c r="A359" s="20"/>
      <c r="B359" s="20"/>
      <c r="C359" s="21"/>
      <c r="D359" s="22"/>
      <c r="E359" s="23"/>
      <c r="F359" s="23"/>
      <c r="G359" s="46"/>
      <c r="H359" s="24"/>
      <c r="I359" s="25"/>
      <c r="L359" s="27"/>
      <c r="M359" s="28"/>
      <c r="P359" s="18"/>
      <c r="Q359" s="2" t="str">
        <f t="shared" si="112"/>
        <v/>
      </c>
      <c r="R359" s="2"/>
      <c r="S359" s="2"/>
      <c r="T359" s="2"/>
      <c r="U359" s="18"/>
      <c r="V359" s="18"/>
      <c r="W359" s="18"/>
      <c r="X359" s="18"/>
      <c r="Y359" s="18"/>
      <c r="AA359" s="22"/>
      <c r="AB359" s="29"/>
      <c r="AC359" s="30"/>
      <c r="AD359" s="29"/>
      <c r="AE359" s="29"/>
      <c r="AF359" s="11"/>
      <c r="AG359" s="31"/>
      <c r="AH359" s="31"/>
    </row>
    <row r="360" spans="1:34" s="26" customFormat="1" hidden="1" x14ac:dyDescent="0.25">
      <c r="A360" s="20"/>
      <c r="B360" s="20"/>
      <c r="C360" s="21"/>
      <c r="D360" s="22"/>
      <c r="E360" s="23"/>
      <c r="F360" s="23"/>
      <c r="G360" s="46"/>
      <c r="H360" s="24"/>
      <c r="I360" s="25"/>
      <c r="L360" s="27"/>
      <c r="M360" s="28"/>
      <c r="P360" s="18"/>
      <c r="Q360" s="2" t="str">
        <f t="shared" si="112"/>
        <v/>
      </c>
      <c r="R360" s="2"/>
      <c r="S360" s="2"/>
      <c r="T360" s="2"/>
      <c r="U360" s="18"/>
      <c r="V360" s="18"/>
      <c r="W360" s="18"/>
      <c r="X360" s="18"/>
      <c r="Y360" s="18"/>
      <c r="AA360" s="22"/>
      <c r="AB360" s="29"/>
      <c r="AC360" s="30"/>
      <c r="AD360" s="29"/>
      <c r="AE360" s="29"/>
      <c r="AF360" s="11"/>
      <c r="AG360" s="31"/>
      <c r="AH360" s="31"/>
    </row>
    <row r="361" spans="1:34" s="26" customFormat="1" ht="72.75" hidden="1" customHeight="1" x14ac:dyDescent="0.25">
      <c r="A361" s="20"/>
      <c r="B361" s="20"/>
      <c r="C361" s="21"/>
      <c r="D361" s="22"/>
      <c r="E361" s="23"/>
      <c r="F361" s="23"/>
      <c r="G361" s="46"/>
      <c r="H361" s="24"/>
      <c r="I361" s="25"/>
      <c r="L361" s="27"/>
      <c r="M361" s="28"/>
      <c r="P361" s="18"/>
      <c r="Q361" s="2" t="str">
        <f t="shared" si="112"/>
        <v/>
      </c>
      <c r="R361" s="2"/>
      <c r="S361" s="2"/>
      <c r="T361" s="2"/>
      <c r="U361" s="18"/>
      <c r="V361" s="18"/>
      <c r="W361" s="18"/>
      <c r="X361" s="18"/>
      <c r="Y361" s="18"/>
      <c r="AA361" s="22"/>
      <c r="AB361" s="29"/>
      <c r="AC361" s="30"/>
      <c r="AD361" s="29"/>
      <c r="AE361" s="29"/>
      <c r="AF361" s="11"/>
      <c r="AG361" s="31"/>
      <c r="AH361" s="31"/>
    </row>
    <row r="362" spans="1:34" s="26" customFormat="1" hidden="1" x14ac:dyDescent="0.25">
      <c r="A362" s="20"/>
      <c r="B362" s="20"/>
      <c r="C362" s="21"/>
      <c r="D362" s="22"/>
      <c r="E362" s="23"/>
      <c r="F362" s="23"/>
      <c r="G362" s="46"/>
      <c r="H362" s="24"/>
      <c r="I362" s="25"/>
      <c r="L362" s="27"/>
      <c r="M362" s="28"/>
      <c r="P362" s="18"/>
      <c r="Q362" s="2" t="str">
        <f t="shared" si="112"/>
        <v/>
      </c>
      <c r="R362" s="2"/>
      <c r="S362" s="2"/>
      <c r="T362" s="2"/>
      <c r="U362" s="18"/>
      <c r="V362" s="18"/>
      <c r="W362" s="18"/>
      <c r="X362" s="18"/>
      <c r="Y362" s="18"/>
      <c r="AA362" s="22"/>
      <c r="AB362" s="29"/>
      <c r="AC362" s="30"/>
      <c r="AD362" s="29"/>
      <c r="AE362" s="29"/>
      <c r="AF362" s="11"/>
      <c r="AG362" s="31"/>
      <c r="AH362" s="31"/>
    </row>
    <row r="363" spans="1:34" s="26" customFormat="1" hidden="1" x14ac:dyDescent="0.25">
      <c r="A363" s="20"/>
      <c r="B363" s="20"/>
      <c r="C363" s="21"/>
      <c r="D363" s="22"/>
      <c r="E363" s="23"/>
      <c r="F363" s="23"/>
      <c r="G363" s="46"/>
      <c r="H363" s="24"/>
      <c r="I363" s="25"/>
      <c r="L363" s="27"/>
      <c r="M363" s="28"/>
      <c r="P363" s="18"/>
      <c r="Q363" s="2" t="str">
        <f t="shared" si="112"/>
        <v/>
      </c>
      <c r="R363" s="2"/>
      <c r="S363" s="2"/>
      <c r="T363" s="2"/>
      <c r="U363" s="18"/>
      <c r="V363" s="18"/>
      <c r="W363" s="18"/>
      <c r="X363" s="18"/>
      <c r="Y363" s="18"/>
      <c r="AA363" s="22"/>
      <c r="AB363" s="29"/>
      <c r="AC363" s="30"/>
      <c r="AD363" s="29"/>
      <c r="AE363" s="29"/>
      <c r="AF363" s="11"/>
      <c r="AG363" s="31"/>
      <c r="AH363" s="31"/>
    </row>
    <row r="364" spans="1:34" s="26" customFormat="1" ht="47.25" hidden="1" customHeight="1" x14ac:dyDescent="0.25">
      <c r="A364" s="20"/>
      <c r="B364" s="20"/>
      <c r="C364" s="21"/>
      <c r="D364" s="22"/>
      <c r="E364" s="23"/>
      <c r="F364" s="23"/>
      <c r="G364" s="46"/>
      <c r="H364" s="24"/>
      <c r="I364" s="25"/>
      <c r="L364" s="27"/>
      <c r="M364" s="28"/>
      <c r="P364" s="18"/>
      <c r="Q364" s="2" t="str">
        <f t="shared" si="112"/>
        <v/>
      </c>
      <c r="R364" s="2"/>
      <c r="S364" s="2"/>
      <c r="T364" s="2"/>
      <c r="U364" s="18"/>
      <c r="V364" s="18"/>
      <c r="W364" s="18"/>
      <c r="X364" s="18"/>
      <c r="Y364" s="18"/>
      <c r="AA364" s="22"/>
      <c r="AB364" s="29"/>
      <c r="AC364" s="30"/>
      <c r="AD364" s="29"/>
      <c r="AE364" s="29"/>
      <c r="AF364" s="11"/>
      <c r="AG364" s="31"/>
      <c r="AH364" s="31"/>
    </row>
    <row r="365" spans="1:34" s="26" customFormat="1" ht="47.25" hidden="1" customHeight="1" x14ac:dyDescent="0.25">
      <c r="A365" s="20"/>
      <c r="B365" s="20"/>
      <c r="C365" s="21"/>
      <c r="D365" s="22"/>
      <c r="E365" s="23"/>
      <c r="F365" s="23"/>
      <c r="G365" s="46"/>
      <c r="H365" s="24"/>
      <c r="I365" s="25"/>
      <c r="L365" s="27"/>
      <c r="M365" s="28"/>
      <c r="P365" s="18"/>
      <c r="Q365" s="2" t="str">
        <f t="shared" ref="Q365:Q428" si="113">IF(C365&lt;&gt;0,"Imprimir","")</f>
        <v/>
      </c>
      <c r="R365" s="2"/>
      <c r="S365" s="2"/>
      <c r="T365" s="2"/>
      <c r="U365" s="18"/>
      <c r="V365" s="18"/>
      <c r="W365" s="18"/>
      <c r="X365" s="18"/>
      <c r="Y365" s="18"/>
      <c r="AA365" s="22"/>
      <c r="AB365" s="29"/>
      <c r="AC365" s="30"/>
      <c r="AD365" s="29"/>
      <c r="AE365" s="29"/>
      <c r="AF365" s="11"/>
      <c r="AG365" s="31"/>
      <c r="AH365" s="31"/>
    </row>
    <row r="366" spans="1:34" s="26" customFormat="1" ht="46.5" hidden="1" customHeight="1" x14ac:dyDescent="0.25">
      <c r="A366" s="20"/>
      <c r="B366" s="20"/>
      <c r="C366" s="21"/>
      <c r="D366" s="22"/>
      <c r="E366" s="23"/>
      <c r="F366" s="23"/>
      <c r="G366" s="46"/>
      <c r="H366" s="24"/>
      <c r="I366" s="25"/>
      <c r="L366" s="27"/>
      <c r="M366" s="28"/>
      <c r="P366" s="18"/>
      <c r="Q366" s="2" t="str">
        <f t="shared" si="113"/>
        <v/>
      </c>
      <c r="R366" s="2"/>
      <c r="S366" s="2"/>
      <c r="T366" s="2"/>
      <c r="U366" s="18"/>
      <c r="V366" s="18"/>
      <c r="W366" s="18"/>
      <c r="X366" s="18"/>
      <c r="Y366" s="18"/>
      <c r="AA366" s="22"/>
      <c r="AB366" s="29"/>
      <c r="AC366" s="30"/>
      <c r="AD366" s="29"/>
      <c r="AE366" s="29"/>
      <c r="AF366" s="11"/>
      <c r="AG366" s="31"/>
      <c r="AH366" s="31"/>
    </row>
    <row r="367" spans="1:34" s="26" customFormat="1" hidden="1" x14ac:dyDescent="0.25">
      <c r="A367" s="20"/>
      <c r="B367" s="20"/>
      <c r="C367" s="21"/>
      <c r="D367" s="22"/>
      <c r="E367" s="23"/>
      <c r="F367" s="23"/>
      <c r="G367" s="46"/>
      <c r="H367" s="24"/>
      <c r="I367" s="25"/>
      <c r="L367" s="27"/>
      <c r="M367" s="28"/>
      <c r="P367" s="18"/>
      <c r="Q367" s="2" t="str">
        <f t="shared" si="113"/>
        <v/>
      </c>
      <c r="R367" s="2"/>
      <c r="S367" s="2"/>
      <c r="T367" s="2"/>
      <c r="U367" s="18"/>
      <c r="V367" s="18"/>
      <c r="W367" s="18"/>
      <c r="X367" s="18"/>
      <c r="Y367" s="18"/>
      <c r="AA367" s="22"/>
      <c r="AB367" s="29"/>
      <c r="AC367" s="30"/>
      <c r="AD367" s="29"/>
      <c r="AE367" s="29"/>
      <c r="AF367" s="11"/>
      <c r="AG367" s="31"/>
      <c r="AH367" s="31"/>
    </row>
    <row r="368" spans="1:34" s="26" customFormat="1" hidden="1" x14ac:dyDescent="0.25">
      <c r="A368" s="20"/>
      <c r="B368" s="20"/>
      <c r="C368" s="21"/>
      <c r="D368" s="22"/>
      <c r="E368" s="23"/>
      <c r="F368" s="23"/>
      <c r="G368" s="46"/>
      <c r="H368" s="24"/>
      <c r="I368" s="25"/>
      <c r="L368" s="27"/>
      <c r="M368" s="28"/>
      <c r="P368" s="18"/>
      <c r="Q368" s="2" t="str">
        <f t="shared" si="113"/>
        <v/>
      </c>
      <c r="R368" s="2"/>
      <c r="S368" s="2"/>
      <c r="T368" s="2"/>
      <c r="U368" s="18"/>
      <c r="V368" s="18"/>
      <c r="W368" s="18"/>
      <c r="X368" s="18"/>
      <c r="Y368" s="18"/>
      <c r="AA368" s="22"/>
      <c r="AB368" s="29"/>
      <c r="AC368" s="30"/>
      <c r="AD368" s="29"/>
      <c r="AE368" s="29"/>
      <c r="AF368" s="11"/>
      <c r="AG368" s="31"/>
      <c r="AH368" s="31"/>
    </row>
    <row r="369" spans="1:34" s="26" customFormat="1" hidden="1" x14ac:dyDescent="0.25">
      <c r="A369" s="20"/>
      <c r="B369" s="20"/>
      <c r="C369" s="21"/>
      <c r="D369" s="22"/>
      <c r="E369" s="23"/>
      <c r="F369" s="23"/>
      <c r="G369" s="46"/>
      <c r="H369" s="24"/>
      <c r="I369" s="25"/>
      <c r="L369" s="27"/>
      <c r="M369" s="28"/>
      <c r="P369" s="18"/>
      <c r="Q369" s="2" t="str">
        <f t="shared" si="113"/>
        <v/>
      </c>
      <c r="R369" s="2"/>
      <c r="S369" s="2"/>
      <c r="T369" s="2"/>
      <c r="U369" s="18"/>
      <c r="V369" s="18"/>
      <c r="W369" s="18"/>
      <c r="X369" s="18"/>
      <c r="Y369" s="18"/>
      <c r="AA369" s="22"/>
      <c r="AB369" s="29"/>
      <c r="AC369" s="30"/>
      <c r="AD369" s="29"/>
      <c r="AE369" s="29"/>
      <c r="AF369" s="11"/>
      <c r="AG369" s="31"/>
      <c r="AH369" s="31"/>
    </row>
    <row r="370" spans="1:34" s="26" customFormat="1" ht="49.5" hidden="1" customHeight="1" x14ac:dyDescent="0.25">
      <c r="A370" s="20"/>
      <c r="B370" s="20"/>
      <c r="C370" s="21"/>
      <c r="D370" s="22"/>
      <c r="E370" s="23"/>
      <c r="F370" s="23"/>
      <c r="G370" s="46"/>
      <c r="H370" s="24"/>
      <c r="I370" s="25"/>
      <c r="L370" s="27"/>
      <c r="M370" s="28"/>
      <c r="P370" s="18"/>
      <c r="Q370" s="2" t="str">
        <f t="shared" si="113"/>
        <v/>
      </c>
      <c r="R370" s="2"/>
      <c r="S370" s="2"/>
      <c r="T370" s="2"/>
      <c r="U370" s="18"/>
      <c r="V370" s="18"/>
      <c r="W370" s="18"/>
      <c r="X370" s="18"/>
      <c r="Y370" s="18"/>
      <c r="AA370" s="22"/>
      <c r="AB370" s="29"/>
      <c r="AC370" s="30"/>
      <c r="AD370" s="29"/>
      <c r="AE370" s="29"/>
      <c r="AF370" s="11"/>
      <c r="AG370" s="31"/>
      <c r="AH370" s="31"/>
    </row>
    <row r="371" spans="1:34" s="26" customFormat="1" ht="48.75" hidden="1" customHeight="1" x14ac:dyDescent="0.25">
      <c r="A371" s="20"/>
      <c r="B371" s="20"/>
      <c r="C371" s="21"/>
      <c r="D371" s="22"/>
      <c r="E371" s="23"/>
      <c r="F371" s="23"/>
      <c r="G371" s="46"/>
      <c r="H371" s="24"/>
      <c r="I371" s="25"/>
      <c r="L371" s="27"/>
      <c r="M371" s="28"/>
      <c r="P371" s="18"/>
      <c r="Q371" s="2" t="str">
        <f t="shared" si="113"/>
        <v/>
      </c>
      <c r="R371" s="2"/>
      <c r="S371" s="2"/>
      <c r="T371" s="2"/>
      <c r="U371" s="18"/>
      <c r="V371" s="18"/>
      <c r="W371" s="18"/>
      <c r="X371" s="18"/>
      <c r="Y371" s="18"/>
      <c r="AA371" s="22"/>
      <c r="AB371" s="29"/>
      <c r="AC371" s="30"/>
      <c r="AD371" s="29"/>
      <c r="AE371" s="29"/>
      <c r="AF371" s="11"/>
      <c r="AG371" s="31"/>
      <c r="AH371" s="31"/>
    </row>
    <row r="372" spans="1:34" s="26" customFormat="1" hidden="1" x14ac:dyDescent="0.25">
      <c r="A372" s="20"/>
      <c r="B372" s="20"/>
      <c r="C372" s="21"/>
      <c r="D372" s="22"/>
      <c r="E372" s="23"/>
      <c r="F372" s="23"/>
      <c r="G372" s="46"/>
      <c r="H372" s="24"/>
      <c r="I372" s="25"/>
      <c r="L372" s="27"/>
      <c r="M372" s="28"/>
      <c r="P372" s="18"/>
      <c r="Q372" s="2" t="str">
        <f t="shared" si="113"/>
        <v/>
      </c>
      <c r="R372" s="2"/>
      <c r="S372" s="2"/>
      <c r="T372" s="2"/>
      <c r="U372" s="18"/>
      <c r="V372" s="18"/>
      <c r="W372" s="18"/>
      <c r="X372" s="18"/>
      <c r="Y372" s="18"/>
      <c r="AA372" s="22"/>
      <c r="AB372" s="29"/>
      <c r="AC372" s="30"/>
      <c r="AD372" s="29"/>
      <c r="AE372" s="29"/>
      <c r="AF372" s="11"/>
      <c r="AG372" s="31"/>
      <c r="AH372" s="31"/>
    </row>
    <row r="373" spans="1:34" s="26" customFormat="1" hidden="1" x14ac:dyDescent="0.25">
      <c r="A373" s="20"/>
      <c r="B373" s="20"/>
      <c r="C373" s="21"/>
      <c r="D373" s="22"/>
      <c r="E373" s="23"/>
      <c r="F373" s="23"/>
      <c r="G373" s="46"/>
      <c r="H373" s="24"/>
      <c r="I373" s="25"/>
      <c r="L373" s="27"/>
      <c r="M373" s="28"/>
      <c r="P373" s="18"/>
      <c r="Q373" s="2" t="str">
        <f t="shared" si="113"/>
        <v/>
      </c>
      <c r="R373" s="2"/>
      <c r="S373" s="2"/>
      <c r="T373" s="2"/>
      <c r="U373" s="18"/>
      <c r="V373" s="18"/>
      <c r="W373" s="18"/>
      <c r="X373" s="18"/>
      <c r="Y373" s="18"/>
      <c r="AA373" s="22"/>
      <c r="AB373" s="29"/>
      <c r="AC373" s="30"/>
      <c r="AD373" s="29"/>
      <c r="AE373" s="29"/>
      <c r="AF373" s="11"/>
      <c r="AG373" s="31"/>
      <c r="AH373" s="31"/>
    </row>
    <row r="374" spans="1:34" s="26" customFormat="1" ht="43.5" hidden="1" customHeight="1" x14ac:dyDescent="0.25">
      <c r="A374" s="20"/>
      <c r="B374" s="20"/>
      <c r="C374" s="21"/>
      <c r="D374" s="22"/>
      <c r="E374" s="23"/>
      <c r="F374" s="23"/>
      <c r="G374" s="46"/>
      <c r="H374" s="24"/>
      <c r="I374" s="25"/>
      <c r="L374" s="27"/>
      <c r="M374" s="28"/>
      <c r="P374" s="18"/>
      <c r="Q374" s="2" t="str">
        <f t="shared" si="113"/>
        <v/>
      </c>
      <c r="R374" s="2"/>
      <c r="S374" s="2"/>
      <c r="T374" s="2"/>
      <c r="U374" s="18"/>
      <c r="V374" s="18"/>
      <c r="W374" s="18"/>
      <c r="X374" s="18"/>
      <c r="Y374" s="18"/>
      <c r="AA374" s="22"/>
      <c r="AB374" s="29"/>
      <c r="AC374" s="30"/>
      <c r="AD374" s="29"/>
      <c r="AE374" s="29"/>
      <c r="AF374" s="11"/>
      <c r="AG374" s="31"/>
      <c r="AH374" s="31"/>
    </row>
    <row r="375" spans="1:34" s="26" customFormat="1" ht="47.25" hidden="1" customHeight="1" x14ac:dyDescent="0.25">
      <c r="A375" s="20"/>
      <c r="B375" s="20"/>
      <c r="C375" s="21"/>
      <c r="D375" s="22"/>
      <c r="E375" s="23"/>
      <c r="F375" s="23"/>
      <c r="G375" s="46"/>
      <c r="H375" s="24"/>
      <c r="I375" s="25"/>
      <c r="L375" s="27"/>
      <c r="M375" s="28"/>
      <c r="P375" s="18"/>
      <c r="Q375" s="2" t="str">
        <f t="shared" si="113"/>
        <v/>
      </c>
      <c r="R375" s="2"/>
      <c r="S375" s="2"/>
      <c r="T375" s="2"/>
      <c r="U375" s="18"/>
      <c r="V375" s="18"/>
      <c r="W375" s="18"/>
      <c r="X375" s="18"/>
      <c r="Y375" s="18"/>
      <c r="AA375" s="22"/>
      <c r="AB375" s="29"/>
      <c r="AC375" s="30"/>
      <c r="AD375" s="29"/>
      <c r="AE375" s="29"/>
      <c r="AF375" s="11"/>
      <c r="AG375" s="31"/>
      <c r="AH375" s="31"/>
    </row>
    <row r="376" spans="1:34" s="26" customFormat="1" ht="48" hidden="1" customHeight="1" x14ac:dyDescent="0.25">
      <c r="A376" s="20"/>
      <c r="B376" s="20"/>
      <c r="C376" s="21"/>
      <c r="D376" s="22"/>
      <c r="E376" s="23"/>
      <c r="F376" s="23"/>
      <c r="G376" s="46"/>
      <c r="H376" s="24"/>
      <c r="I376" s="25"/>
      <c r="L376" s="27"/>
      <c r="M376" s="28"/>
      <c r="P376" s="18"/>
      <c r="Q376" s="2" t="str">
        <f t="shared" si="113"/>
        <v/>
      </c>
      <c r="R376" s="2"/>
      <c r="S376" s="2"/>
      <c r="T376" s="2"/>
      <c r="U376" s="18"/>
      <c r="V376" s="18"/>
      <c r="W376" s="18"/>
      <c r="X376" s="18"/>
      <c r="Y376" s="18"/>
      <c r="AA376" s="22"/>
      <c r="AB376" s="29"/>
      <c r="AC376" s="30"/>
      <c r="AD376" s="29"/>
      <c r="AE376" s="29"/>
      <c r="AF376" s="11"/>
      <c r="AG376" s="31"/>
      <c r="AH376" s="31"/>
    </row>
    <row r="377" spans="1:34" s="26" customFormat="1" ht="51.75" hidden="1" customHeight="1" x14ac:dyDescent="0.25">
      <c r="A377" s="20"/>
      <c r="B377" s="20"/>
      <c r="C377" s="21"/>
      <c r="D377" s="22"/>
      <c r="E377" s="23"/>
      <c r="F377" s="23"/>
      <c r="G377" s="46"/>
      <c r="H377" s="24"/>
      <c r="I377" s="25"/>
      <c r="L377" s="27"/>
      <c r="M377" s="28"/>
      <c r="P377" s="18"/>
      <c r="Q377" s="2" t="str">
        <f t="shared" si="113"/>
        <v/>
      </c>
      <c r="R377" s="2"/>
      <c r="S377" s="2"/>
      <c r="T377" s="2"/>
      <c r="U377" s="18"/>
      <c r="V377" s="18"/>
      <c r="W377" s="18"/>
      <c r="X377" s="18"/>
      <c r="Y377" s="18"/>
      <c r="AA377" s="22"/>
      <c r="AB377" s="29"/>
      <c r="AC377" s="30"/>
      <c r="AD377" s="29"/>
      <c r="AE377" s="29"/>
      <c r="AF377" s="11"/>
      <c r="AG377" s="31"/>
      <c r="AH377" s="31"/>
    </row>
    <row r="378" spans="1:34" s="26" customFormat="1" hidden="1" x14ac:dyDescent="0.25">
      <c r="A378" s="20"/>
      <c r="B378" s="20"/>
      <c r="C378" s="21"/>
      <c r="D378" s="22"/>
      <c r="E378" s="23"/>
      <c r="F378" s="23"/>
      <c r="G378" s="46"/>
      <c r="H378" s="24"/>
      <c r="I378" s="25"/>
      <c r="L378" s="27"/>
      <c r="M378" s="28"/>
      <c r="P378" s="18"/>
      <c r="Q378" s="2" t="str">
        <f t="shared" si="113"/>
        <v/>
      </c>
      <c r="R378" s="2"/>
      <c r="S378" s="2"/>
      <c r="T378" s="2"/>
      <c r="U378" s="18"/>
      <c r="V378" s="18"/>
      <c r="W378" s="18"/>
      <c r="X378" s="18"/>
      <c r="Y378" s="18"/>
      <c r="AA378" s="22"/>
      <c r="AB378" s="29"/>
      <c r="AC378" s="30"/>
      <c r="AD378" s="29"/>
      <c r="AE378" s="29"/>
      <c r="AF378" s="11"/>
      <c r="AG378" s="31"/>
      <c r="AH378" s="31"/>
    </row>
    <row r="379" spans="1:34" s="26" customFormat="1" hidden="1" x14ac:dyDescent="0.25">
      <c r="A379" s="20"/>
      <c r="B379" s="20"/>
      <c r="C379" s="21"/>
      <c r="D379" s="22"/>
      <c r="E379" s="23"/>
      <c r="F379" s="23"/>
      <c r="G379" s="46"/>
      <c r="H379" s="24"/>
      <c r="I379" s="25"/>
      <c r="L379" s="27"/>
      <c r="M379" s="28"/>
      <c r="P379" s="18"/>
      <c r="Q379" s="2" t="str">
        <f t="shared" si="113"/>
        <v/>
      </c>
      <c r="R379" s="2"/>
      <c r="S379" s="2"/>
      <c r="T379" s="2"/>
      <c r="U379" s="18"/>
      <c r="V379" s="18"/>
      <c r="W379" s="18"/>
      <c r="X379" s="18"/>
      <c r="Y379" s="18"/>
      <c r="AA379" s="22"/>
      <c r="AB379" s="29"/>
      <c r="AC379" s="30"/>
      <c r="AD379" s="29"/>
      <c r="AE379" s="29"/>
      <c r="AF379" s="11"/>
      <c r="AG379" s="31"/>
      <c r="AH379" s="31"/>
    </row>
    <row r="380" spans="1:34" s="26" customFormat="1" hidden="1" x14ac:dyDescent="0.25">
      <c r="A380" s="20"/>
      <c r="B380" s="20"/>
      <c r="C380" s="21"/>
      <c r="D380" s="22"/>
      <c r="E380" s="23"/>
      <c r="F380" s="23"/>
      <c r="G380" s="46"/>
      <c r="H380" s="24"/>
      <c r="I380" s="25"/>
      <c r="L380" s="27"/>
      <c r="M380" s="28"/>
      <c r="P380" s="18"/>
      <c r="Q380" s="2" t="str">
        <f t="shared" si="113"/>
        <v/>
      </c>
      <c r="R380" s="2"/>
      <c r="S380" s="2"/>
      <c r="T380" s="2"/>
      <c r="U380" s="18"/>
      <c r="V380" s="18"/>
      <c r="W380" s="18"/>
      <c r="X380" s="18"/>
      <c r="Y380" s="18"/>
      <c r="AA380" s="22"/>
      <c r="AB380" s="29"/>
      <c r="AC380" s="30"/>
      <c r="AD380" s="29"/>
      <c r="AE380" s="29"/>
      <c r="AF380" s="11"/>
      <c r="AG380" s="31"/>
      <c r="AH380" s="31"/>
    </row>
    <row r="381" spans="1:34" s="26" customFormat="1" hidden="1" x14ac:dyDescent="0.25">
      <c r="A381" s="20"/>
      <c r="B381" s="20"/>
      <c r="C381" s="21"/>
      <c r="D381" s="22"/>
      <c r="E381" s="23"/>
      <c r="F381" s="23"/>
      <c r="G381" s="46"/>
      <c r="H381" s="24"/>
      <c r="I381" s="25"/>
      <c r="L381" s="27"/>
      <c r="M381" s="28"/>
      <c r="P381" s="18"/>
      <c r="Q381" s="2" t="str">
        <f t="shared" si="113"/>
        <v/>
      </c>
      <c r="R381" s="2"/>
      <c r="S381" s="2"/>
      <c r="T381" s="2"/>
      <c r="U381" s="18"/>
      <c r="V381" s="18"/>
      <c r="W381" s="18"/>
      <c r="X381" s="18"/>
      <c r="Y381" s="18"/>
      <c r="AA381" s="22"/>
      <c r="AB381" s="29"/>
      <c r="AC381" s="30"/>
      <c r="AD381" s="29"/>
      <c r="AE381" s="29"/>
      <c r="AF381" s="11"/>
      <c r="AG381" s="31"/>
      <c r="AH381" s="31"/>
    </row>
    <row r="382" spans="1:34" s="26" customFormat="1" hidden="1" x14ac:dyDescent="0.25">
      <c r="A382" s="20"/>
      <c r="B382" s="20"/>
      <c r="C382" s="21"/>
      <c r="D382" s="22"/>
      <c r="E382" s="23"/>
      <c r="F382" s="23"/>
      <c r="G382" s="46"/>
      <c r="H382" s="24"/>
      <c r="I382" s="25"/>
      <c r="L382" s="27"/>
      <c r="M382" s="28"/>
      <c r="P382" s="18"/>
      <c r="Q382" s="2" t="str">
        <f t="shared" si="113"/>
        <v/>
      </c>
      <c r="R382" s="2"/>
      <c r="S382" s="2"/>
      <c r="T382" s="2"/>
      <c r="U382" s="18"/>
      <c r="V382" s="18"/>
      <c r="W382" s="18"/>
      <c r="X382" s="18"/>
      <c r="Y382" s="18"/>
      <c r="AA382" s="22"/>
      <c r="AB382" s="29"/>
      <c r="AC382" s="30"/>
      <c r="AD382" s="29"/>
      <c r="AE382" s="29"/>
      <c r="AF382" s="11"/>
      <c r="AG382" s="31"/>
      <c r="AH382" s="31"/>
    </row>
    <row r="383" spans="1:34" s="26" customFormat="1" hidden="1" x14ac:dyDescent="0.25">
      <c r="A383" s="20"/>
      <c r="B383" s="20"/>
      <c r="C383" s="21"/>
      <c r="D383" s="22"/>
      <c r="E383" s="23"/>
      <c r="F383" s="23"/>
      <c r="G383" s="46"/>
      <c r="H383" s="24"/>
      <c r="I383" s="25"/>
      <c r="L383" s="27"/>
      <c r="M383" s="28"/>
      <c r="P383" s="18"/>
      <c r="Q383" s="2" t="str">
        <f t="shared" si="113"/>
        <v/>
      </c>
      <c r="R383" s="2"/>
      <c r="S383" s="2"/>
      <c r="T383" s="2"/>
      <c r="U383" s="18"/>
      <c r="V383" s="18"/>
      <c r="W383" s="18"/>
      <c r="X383" s="18"/>
      <c r="Y383" s="18"/>
      <c r="AA383" s="22"/>
      <c r="AB383" s="29"/>
      <c r="AC383" s="30"/>
      <c r="AD383" s="29"/>
      <c r="AE383" s="29"/>
      <c r="AF383" s="11"/>
      <c r="AG383" s="31"/>
      <c r="AH383" s="31"/>
    </row>
    <row r="384" spans="1:34" s="26" customFormat="1" hidden="1" x14ac:dyDescent="0.25">
      <c r="A384" s="20"/>
      <c r="B384" s="20"/>
      <c r="C384" s="21"/>
      <c r="D384" s="22"/>
      <c r="E384" s="23"/>
      <c r="F384" s="23"/>
      <c r="G384" s="46"/>
      <c r="H384" s="24"/>
      <c r="I384" s="25"/>
      <c r="L384" s="27"/>
      <c r="M384" s="28"/>
      <c r="P384" s="18"/>
      <c r="Q384" s="2" t="str">
        <f t="shared" si="113"/>
        <v/>
      </c>
      <c r="R384" s="2"/>
      <c r="S384" s="2"/>
      <c r="T384" s="2"/>
      <c r="U384" s="18"/>
      <c r="V384" s="18"/>
      <c r="W384" s="18"/>
      <c r="X384" s="18"/>
      <c r="Y384" s="18"/>
      <c r="AA384" s="22"/>
      <c r="AB384" s="29"/>
      <c r="AC384" s="30"/>
      <c r="AD384" s="29"/>
      <c r="AE384" s="29"/>
      <c r="AF384" s="11"/>
      <c r="AG384" s="31"/>
      <c r="AH384" s="31"/>
    </row>
    <row r="385" spans="1:34" s="26" customFormat="1" hidden="1" x14ac:dyDescent="0.25">
      <c r="A385" s="20"/>
      <c r="B385" s="20"/>
      <c r="C385" s="37"/>
      <c r="D385" s="22"/>
      <c r="E385" s="23"/>
      <c r="F385" s="23"/>
      <c r="G385" s="46"/>
      <c r="H385" s="24"/>
      <c r="I385" s="25"/>
      <c r="L385" s="27"/>
      <c r="M385" s="28"/>
      <c r="P385" s="18"/>
      <c r="Q385" s="2" t="str">
        <f t="shared" si="113"/>
        <v/>
      </c>
      <c r="R385" s="2"/>
      <c r="S385" s="2"/>
      <c r="T385" s="2"/>
      <c r="U385" s="18"/>
      <c r="V385" s="18"/>
      <c r="W385" s="18"/>
      <c r="X385" s="18"/>
      <c r="Y385" s="18"/>
      <c r="AA385" s="22"/>
      <c r="AB385" s="29"/>
      <c r="AC385" s="30"/>
      <c r="AD385" s="29"/>
      <c r="AE385" s="29"/>
      <c r="AF385" s="11"/>
      <c r="AG385" s="31"/>
      <c r="AH385" s="31"/>
    </row>
    <row r="386" spans="1:34" s="26" customFormat="1" hidden="1" x14ac:dyDescent="0.25">
      <c r="A386" s="20"/>
      <c r="B386" s="20"/>
      <c r="C386" s="21"/>
      <c r="D386" s="22"/>
      <c r="E386" s="23"/>
      <c r="F386" s="23"/>
      <c r="G386" s="46"/>
      <c r="H386" s="24"/>
      <c r="I386" s="25"/>
      <c r="L386" s="27"/>
      <c r="M386" s="28"/>
      <c r="P386" s="18"/>
      <c r="Q386" s="2" t="str">
        <f t="shared" si="113"/>
        <v/>
      </c>
      <c r="U386" s="18"/>
      <c r="V386" s="18"/>
      <c r="W386" s="18"/>
      <c r="X386" s="18"/>
      <c r="Y386" s="18"/>
      <c r="AA386" s="22"/>
      <c r="AB386" s="29"/>
      <c r="AC386" s="30"/>
      <c r="AD386" s="29"/>
      <c r="AE386" s="29"/>
      <c r="AF386" s="29"/>
      <c r="AG386" s="31"/>
      <c r="AH386" s="31"/>
    </row>
    <row r="387" spans="1:34" s="26" customFormat="1" hidden="1" x14ac:dyDescent="0.25">
      <c r="A387" s="20"/>
      <c r="B387" s="20"/>
      <c r="C387" s="21"/>
      <c r="D387" s="22"/>
      <c r="E387" s="23"/>
      <c r="F387" s="23"/>
      <c r="G387" s="46"/>
      <c r="H387" s="24"/>
      <c r="I387" s="25"/>
      <c r="L387" s="27"/>
      <c r="M387" s="28"/>
      <c r="P387" s="18"/>
      <c r="Q387" s="2" t="str">
        <f t="shared" si="113"/>
        <v/>
      </c>
      <c r="U387" s="18"/>
      <c r="V387" s="18"/>
      <c r="W387" s="18"/>
      <c r="X387" s="18"/>
      <c r="Y387" s="18"/>
      <c r="AA387" s="22"/>
      <c r="AB387" s="29"/>
      <c r="AC387" s="30"/>
      <c r="AD387" s="29"/>
      <c r="AE387" s="29"/>
      <c r="AF387" s="29"/>
      <c r="AG387" s="31"/>
      <c r="AH387" s="31"/>
    </row>
    <row r="388" spans="1:34" s="26" customFormat="1" hidden="1" x14ac:dyDescent="0.25">
      <c r="A388" s="20"/>
      <c r="B388" s="20"/>
      <c r="C388" s="21"/>
      <c r="D388" s="22"/>
      <c r="E388" s="23"/>
      <c r="F388" s="23"/>
      <c r="G388" s="46"/>
      <c r="H388" s="24"/>
      <c r="I388" s="25"/>
      <c r="L388" s="27"/>
      <c r="M388" s="28"/>
      <c r="P388" s="18"/>
      <c r="Q388" s="2" t="str">
        <f t="shared" si="113"/>
        <v/>
      </c>
      <c r="U388" s="18"/>
      <c r="V388" s="18"/>
      <c r="W388" s="18"/>
      <c r="X388" s="18"/>
      <c r="Y388" s="18"/>
      <c r="AA388" s="22"/>
      <c r="AB388" s="29"/>
      <c r="AC388" s="30"/>
      <c r="AD388" s="29"/>
      <c r="AE388" s="29"/>
      <c r="AF388" s="29"/>
      <c r="AG388" s="31"/>
      <c r="AH388" s="31"/>
    </row>
    <row r="389" spans="1:34" s="26" customFormat="1" hidden="1" x14ac:dyDescent="0.25">
      <c r="A389" s="20"/>
      <c r="B389" s="20"/>
      <c r="C389" s="21"/>
      <c r="D389" s="22"/>
      <c r="E389" s="23"/>
      <c r="F389" s="23"/>
      <c r="G389" s="46"/>
      <c r="H389" s="24"/>
      <c r="I389" s="25"/>
      <c r="L389" s="27"/>
      <c r="M389" s="28"/>
      <c r="P389" s="18"/>
      <c r="Q389" s="2" t="str">
        <f t="shared" si="113"/>
        <v/>
      </c>
      <c r="U389" s="18"/>
      <c r="V389" s="18"/>
      <c r="W389" s="18"/>
      <c r="X389" s="18"/>
      <c r="Y389" s="18"/>
      <c r="AA389" s="22"/>
      <c r="AB389" s="29"/>
      <c r="AC389" s="30"/>
      <c r="AD389" s="29"/>
      <c r="AE389" s="29"/>
      <c r="AF389" s="29"/>
      <c r="AG389" s="31"/>
      <c r="AH389" s="31"/>
    </row>
    <row r="390" spans="1:34" s="26" customFormat="1" hidden="1" x14ac:dyDescent="0.25">
      <c r="A390" s="20"/>
      <c r="B390" s="20"/>
      <c r="C390" s="21"/>
      <c r="D390" s="22"/>
      <c r="E390" s="23"/>
      <c r="F390" s="23"/>
      <c r="G390" s="46"/>
      <c r="H390" s="24"/>
      <c r="I390" s="25"/>
      <c r="L390" s="27"/>
      <c r="M390" s="28"/>
      <c r="P390" s="18"/>
      <c r="Q390" s="2" t="str">
        <f t="shared" si="113"/>
        <v/>
      </c>
      <c r="U390" s="18"/>
      <c r="V390" s="18"/>
      <c r="W390" s="18"/>
      <c r="X390" s="18"/>
      <c r="Y390" s="18"/>
      <c r="AA390" s="22"/>
      <c r="AB390" s="29"/>
      <c r="AC390" s="30"/>
      <c r="AD390" s="29"/>
      <c r="AE390" s="29"/>
      <c r="AF390" s="29"/>
      <c r="AG390" s="31"/>
      <c r="AH390" s="31"/>
    </row>
    <row r="391" spans="1:34" s="26" customFormat="1" hidden="1" x14ac:dyDescent="0.25">
      <c r="A391" s="20"/>
      <c r="B391" s="20"/>
      <c r="C391" s="21"/>
      <c r="D391" s="22"/>
      <c r="E391" s="23"/>
      <c r="F391" s="23"/>
      <c r="G391" s="46"/>
      <c r="H391" s="24"/>
      <c r="I391" s="25"/>
      <c r="L391" s="27"/>
      <c r="M391" s="28"/>
      <c r="P391" s="18"/>
      <c r="Q391" s="2" t="str">
        <f t="shared" si="113"/>
        <v/>
      </c>
      <c r="U391" s="18"/>
      <c r="V391" s="18"/>
      <c r="W391" s="18"/>
      <c r="X391" s="18"/>
      <c r="Y391" s="18"/>
      <c r="AA391" s="22"/>
      <c r="AB391" s="29"/>
      <c r="AC391" s="30"/>
      <c r="AD391" s="29"/>
      <c r="AE391" s="29"/>
      <c r="AF391" s="29"/>
      <c r="AG391" s="31"/>
      <c r="AH391" s="31"/>
    </row>
    <row r="392" spans="1:34" s="26" customFormat="1" hidden="1" x14ac:dyDescent="0.25">
      <c r="A392" s="20"/>
      <c r="B392" s="20"/>
      <c r="C392" s="21"/>
      <c r="D392" s="22"/>
      <c r="E392" s="23"/>
      <c r="F392" s="23"/>
      <c r="G392" s="46"/>
      <c r="H392" s="24"/>
      <c r="I392" s="25"/>
      <c r="L392" s="27"/>
      <c r="M392" s="28"/>
      <c r="P392" s="18"/>
      <c r="Q392" s="2" t="str">
        <f t="shared" si="113"/>
        <v/>
      </c>
      <c r="U392" s="18"/>
      <c r="V392" s="18"/>
      <c r="W392" s="18"/>
      <c r="X392" s="18"/>
      <c r="Y392" s="18"/>
      <c r="AA392" s="22"/>
      <c r="AB392" s="29"/>
      <c r="AC392" s="30"/>
      <c r="AD392" s="29"/>
      <c r="AE392" s="29"/>
      <c r="AF392" s="29"/>
      <c r="AG392" s="31"/>
      <c r="AH392" s="31"/>
    </row>
    <row r="393" spans="1:34" s="26" customFormat="1" ht="135" hidden="1" customHeight="1" x14ac:dyDescent="0.25">
      <c r="A393" s="20"/>
      <c r="B393" s="20"/>
      <c r="C393" s="21"/>
      <c r="D393" s="22"/>
      <c r="E393" s="23"/>
      <c r="F393" s="23"/>
      <c r="G393" s="46"/>
      <c r="H393" s="24"/>
      <c r="I393" s="25"/>
      <c r="L393" s="27"/>
      <c r="M393" s="28"/>
      <c r="P393" s="18"/>
      <c r="Q393" s="2" t="str">
        <f t="shared" si="113"/>
        <v/>
      </c>
      <c r="U393" s="18"/>
      <c r="V393" s="18"/>
      <c r="W393" s="18"/>
      <c r="X393" s="18"/>
      <c r="Y393" s="18"/>
      <c r="AA393" s="22"/>
      <c r="AB393" s="29"/>
      <c r="AC393" s="30"/>
      <c r="AD393" s="29"/>
      <c r="AE393" s="29"/>
      <c r="AF393" s="29"/>
      <c r="AG393" s="31"/>
      <c r="AH393" s="31"/>
    </row>
    <row r="394" spans="1:34" s="26" customFormat="1" ht="135" hidden="1" customHeight="1" x14ac:dyDescent="0.25">
      <c r="A394" s="20"/>
      <c r="B394" s="20"/>
      <c r="C394" s="21"/>
      <c r="D394" s="22"/>
      <c r="E394" s="23"/>
      <c r="F394" s="23"/>
      <c r="G394" s="46"/>
      <c r="H394" s="24"/>
      <c r="I394" s="25"/>
      <c r="L394" s="27"/>
      <c r="M394" s="28"/>
      <c r="P394" s="18"/>
      <c r="Q394" s="2" t="str">
        <f t="shared" si="113"/>
        <v/>
      </c>
      <c r="U394" s="18"/>
      <c r="V394" s="18"/>
      <c r="W394" s="18"/>
      <c r="X394" s="18"/>
      <c r="Y394" s="18"/>
      <c r="AA394" s="22"/>
      <c r="AB394" s="29"/>
      <c r="AC394" s="30"/>
      <c r="AD394" s="29"/>
      <c r="AE394" s="29"/>
      <c r="AF394" s="29"/>
      <c r="AG394" s="31"/>
      <c r="AH394" s="31"/>
    </row>
    <row r="395" spans="1:34" s="26" customFormat="1" hidden="1" x14ac:dyDescent="0.25">
      <c r="A395" s="20"/>
      <c r="B395" s="20"/>
      <c r="C395" s="21"/>
      <c r="D395" s="22"/>
      <c r="E395" s="23"/>
      <c r="F395" s="23"/>
      <c r="G395" s="46"/>
      <c r="H395" s="24"/>
      <c r="I395" s="25"/>
      <c r="L395" s="27"/>
      <c r="M395" s="28"/>
      <c r="P395" s="18"/>
      <c r="Q395" s="2" t="str">
        <f t="shared" si="113"/>
        <v/>
      </c>
      <c r="U395" s="18"/>
      <c r="V395" s="18"/>
      <c r="W395" s="18"/>
      <c r="X395" s="18"/>
      <c r="Y395" s="18"/>
      <c r="AA395" s="22"/>
      <c r="AB395" s="29"/>
      <c r="AC395" s="30"/>
      <c r="AD395" s="29"/>
      <c r="AE395" s="29"/>
      <c r="AF395" s="29"/>
      <c r="AG395" s="31"/>
      <c r="AH395" s="31"/>
    </row>
    <row r="396" spans="1:34" s="26" customFormat="1" hidden="1" x14ac:dyDescent="0.25">
      <c r="A396" s="20"/>
      <c r="B396" s="20"/>
      <c r="C396" s="21"/>
      <c r="D396" s="22"/>
      <c r="E396" s="23"/>
      <c r="F396" s="23"/>
      <c r="G396" s="46"/>
      <c r="H396" s="24"/>
      <c r="I396" s="25"/>
      <c r="L396" s="27"/>
      <c r="M396" s="28"/>
      <c r="P396" s="18"/>
      <c r="Q396" s="2" t="str">
        <f t="shared" si="113"/>
        <v/>
      </c>
      <c r="U396" s="18"/>
      <c r="V396" s="18"/>
      <c r="W396" s="18"/>
      <c r="X396" s="18"/>
      <c r="Y396" s="18"/>
      <c r="AA396" s="22"/>
      <c r="AB396" s="29"/>
      <c r="AC396" s="30"/>
      <c r="AD396" s="29"/>
      <c r="AE396" s="29"/>
      <c r="AF396" s="29"/>
      <c r="AG396" s="31"/>
      <c r="AH396" s="31"/>
    </row>
    <row r="397" spans="1:34" s="26" customFormat="1" hidden="1" x14ac:dyDescent="0.25">
      <c r="A397" s="20"/>
      <c r="B397" s="20"/>
      <c r="C397" s="21"/>
      <c r="D397" s="22"/>
      <c r="E397" s="23"/>
      <c r="F397" s="23"/>
      <c r="G397" s="46"/>
      <c r="H397" s="24"/>
      <c r="I397" s="25"/>
      <c r="L397" s="27"/>
      <c r="M397" s="28"/>
      <c r="P397" s="18"/>
      <c r="Q397" s="2" t="str">
        <f t="shared" si="113"/>
        <v/>
      </c>
      <c r="U397" s="18"/>
      <c r="V397" s="18"/>
      <c r="W397" s="18"/>
      <c r="X397" s="18"/>
      <c r="Y397" s="18"/>
      <c r="AA397" s="22"/>
      <c r="AB397" s="29"/>
      <c r="AC397" s="30"/>
      <c r="AD397" s="29"/>
      <c r="AE397" s="29"/>
      <c r="AF397" s="29"/>
      <c r="AG397" s="31"/>
      <c r="AH397" s="31"/>
    </row>
    <row r="398" spans="1:34" s="26" customFormat="1" hidden="1" x14ac:dyDescent="0.25">
      <c r="A398" s="20"/>
      <c r="B398" s="20"/>
      <c r="C398" s="21"/>
      <c r="D398" s="22"/>
      <c r="E398" s="23"/>
      <c r="F398" s="23"/>
      <c r="G398" s="46"/>
      <c r="H398" s="24"/>
      <c r="I398" s="25"/>
      <c r="L398" s="27"/>
      <c r="M398" s="28"/>
      <c r="P398" s="18"/>
      <c r="Q398" s="2" t="str">
        <f t="shared" si="113"/>
        <v/>
      </c>
      <c r="U398" s="18"/>
      <c r="V398" s="18"/>
      <c r="W398" s="18"/>
      <c r="X398" s="18"/>
      <c r="Y398" s="18"/>
      <c r="AA398" s="22"/>
      <c r="AB398" s="29"/>
      <c r="AC398" s="30"/>
      <c r="AD398" s="29"/>
      <c r="AE398" s="29"/>
      <c r="AF398" s="29"/>
      <c r="AG398" s="31"/>
      <c r="AH398" s="31"/>
    </row>
    <row r="399" spans="1:34" s="26" customFormat="1" hidden="1" x14ac:dyDescent="0.25">
      <c r="A399" s="20"/>
      <c r="B399" s="20"/>
      <c r="C399" s="21"/>
      <c r="D399" s="22"/>
      <c r="E399" s="23"/>
      <c r="F399" s="23"/>
      <c r="G399" s="46"/>
      <c r="H399" s="24"/>
      <c r="I399" s="25"/>
      <c r="L399" s="27"/>
      <c r="M399" s="28"/>
      <c r="P399" s="18"/>
      <c r="Q399" s="2" t="str">
        <f t="shared" si="113"/>
        <v/>
      </c>
      <c r="U399" s="18"/>
      <c r="V399" s="18"/>
      <c r="W399" s="18"/>
      <c r="X399" s="18"/>
      <c r="Y399" s="18"/>
      <c r="AA399" s="22"/>
      <c r="AB399" s="29"/>
      <c r="AC399" s="30"/>
      <c r="AD399" s="29"/>
      <c r="AE399" s="29"/>
      <c r="AF399" s="29"/>
      <c r="AG399" s="31"/>
      <c r="AH399" s="31"/>
    </row>
    <row r="400" spans="1:34" s="26" customFormat="1" hidden="1" x14ac:dyDescent="0.25">
      <c r="A400" s="20"/>
      <c r="B400" s="20"/>
      <c r="C400" s="21"/>
      <c r="D400" s="22"/>
      <c r="E400" s="23"/>
      <c r="F400" s="23"/>
      <c r="G400" s="46"/>
      <c r="H400" s="24"/>
      <c r="I400" s="25"/>
      <c r="L400" s="27"/>
      <c r="M400" s="28"/>
      <c r="P400" s="18"/>
      <c r="Q400" s="2" t="str">
        <f t="shared" si="113"/>
        <v/>
      </c>
      <c r="U400" s="18"/>
      <c r="V400" s="18"/>
      <c r="W400" s="18"/>
      <c r="X400" s="18"/>
      <c r="Y400" s="18"/>
      <c r="AA400" s="22"/>
      <c r="AB400" s="29"/>
      <c r="AC400" s="30"/>
      <c r="AD400" s="29"/>
      <c r="AE400" s="29"/>
      <c r="AF400" s="29"/>
      <c r="AG400" s="31"/>
      <c r="AH400" s="31"/>
    </row>
    <row r="401" spans="1:34" s="26" customFormat="1" hidden="1" x14ac:dyDescent="0.25">
      <c r="A401" s="20"/>
      <c r="B401" s="20"/>
      <c r="C401" s="21"/>
      <c r="D401" s="22"/>
      <c r="E401" s="23"/>
      <c r="F401" s="23"/>
      <c r="G401" s="46"/>
      <c r="H401" s="24"/>
      <c r="I401" s="25"/>
      <c r="L401" s="27"/>
      <c r="M401" s="28"/>
      <c r="P401" s="18"/>
      <c r="Q401" s="2" t="str">
        <f t="shared" si="113"/>
        <v/>
      </c>
      <c r="U401" s="18"/>
      <c r="V401" s="18"/>
      <c r="W401" s="18"/>
      <c r="X401" s="18"/>
      <c r="Y401" s="18"/>
      <c r="AA401" s="22"/>
      <c r="AB401" s="29"/>
      <c r="AC401" s="30"/>
      <c r="AD401" s="29"/>
      <c r="AE401" s="29"/>
      <c r="AF401" s="29"/>
      <c r="AG401" s="31"/>
      <c r="AH401" s="31"/>
    </row>
    <row r="402" spans="1:34" s="26" customFormat="1" hidden="1" x14ac:dyDescent="0.25">
      <c r="A402" s="20"/>
      <c r="B402" s="20"/>
      <c r="C402" s="21"/>
      <c r="D402" s="22"/>
      <c r="E402" s="23"/>
      <c r="F402" s="23"/>
      <c r="G402" s="46"/>
      <c r="H402" s="24"/>
      <c r="I402" s="25"/>
      <c r="L402" s="27"/>
      <c r="M402" s="28"/>
      <c r="P402" s="18"/>
      <c r="Q402" s="2" t="str">
        <f t="shared" si="113"/>
        <v/>
      </c>
      <c r="U402" s="18"/>
      <c r="V402" s="18"/>
      <c r="W402" s="18"/>
      <c r="X402" s="18"/>
      <c r="Y402" s="18"/>
      <c r="AA402" s="22"/>
      <c r="AB402" s="29"/>
      <c r="AC402" s="30"/>
      <c r="AD402" s="29"/>
      <c r="AE402" s="29"/>
      <c r="AF402" s="29"/>
      <c r="AG402" s="31"/>
      <c r="AH402" s="31"/>
    </row>
    <row r="403" spans="1:34" s="26" customFormat="1" hidden="1" x14ac:dyDescent="0.25">
      <c r="A403" s="20"/>
      <c r="B403" s="20"/>
      <c r="C403" s="21"/>
      <c r="D403" s="22"/>
      <c r="E403" s="23"/>
      <c r="F403" s="23"/>
      <c r="G403" s="46"/>
      <c r="H403" s="24"/>
      <c r="I403" s="25"/>
      <c r="L403" s="27"/>
      <c r="M403" s="28"/>
      <c r="P403" s="18"/>
      <c r="Q403" s="2" t="str">
        <f t="shared" si="113"/>
        <v/>
      </c>
      <c r="U403" s="18"/>
      <c r="V403" s="18"/>
      <c r="W403" s="18"/>
      <c r="X403" s="18"/>
      <c r="Y403" s="18"/>
      <c r="AA403" s="22"/>
      <c r="AB403" s="29"/>
      <c r="AC403" s="30"/>
      <c r="AD403" s="29"/>
      <c r="AE403" s="29"/>
      <c r="AF403" s="29"/>
      <c r="AG403" s="31"/>
      <c r="AH403" s="31"/>
    </row>
    <row r="404" spans="1:34" s="26" customFormat="1" hidden="1" x14ac:dyDescent="0.25">
      <c r="A404" s="20"/>
      <c r="B404" s="20"/>
      <c r="C404" s="21"/>
      <c r="D404" s="22"/>
      <c r="E404" s="23"/>
      <c r="F404" s="23"/>
      <c r="G404" s="46"/>
      <c r="H404" s="24"/>
      <c r="I404" s="25"/>
      <c r="L404" s="27"/>
      <c r="M404" s="28"/>
      <c r="P404" s="18"/>
      <c r="Q404" s="2" t="str">
        <f t="shared" si="113"/>
        <v/>
      </c>
      <c r="U404" s="18"/>
      <c r="V404" s="18"/>
      <c r="W404" s="18"/>
      <c r="X404" s="18"/>
      <c r="Y404" s="18"/>
      <c r="AA404" s="22"/>
      <c r="AB404" s="29"/>
      <c r="AC404" s="30"/>
      <c r="AD404" s="29"/>
      <c r="AE404" s="29"/>
      <c r="AF404" s="29"/>
      <c r="AG404" s="31"/>
      <c r="AH404" s="31"/>
    </row>
    <row r="405" spans="1:34" s="26" customFormat="1" hidden="1" x14ac:dyDescent="0.25">
      <c r="A405" s="20"/>
      <c r="B405" s="20"/>
      <c r="C405" s="21"/>
      <c r="D405" s="22"/>
      <c r="E405" s="23" t="str">
        <f t="shared" ref="E405:E426" si="114">IF(D405&gt;0,"GUANAJUATO","")</f>
        <v/>
      </c>
      <c r="F405" s="23" t="str">
        <f t="shared" ref="F405:F426" si="115">IF(D405&gt;0,"SAN FELIPE","")</f>
        <v/>
      </c>
      <c r="G405" s="24"/>
      <c r="H405" s="24"/>
      <c r="I405" s="25"/>
      <c r="L405" s="27"/>
      <c r="M405" s="28"/>
      <c r="P405" s="18"/>
      <c r="Q405" s="2" t="str">
        <f t="shared" si="113"/>
        <v/>
      </c>
      <c r="U405" s="18" t="s">
        <v>15</v>
      </c>
      <c r="V405" s="18" t="str">
        <f t="shared" ref="V405:V427" si="116">IF(L405="","","CAP")</f>
        <v/>
      </c>
      <c r="W405" s="18" t="str">
        <f t="shared" ref="W405:W425" si="117">IF(L405="","","CAP")</f>
        <v/>
      </c>
      <c r="X405" s="18"/>
      <c r="Y405" s="18"/>
      <c r="AA405" s="22"/>
      <c r="AB405" s="29" t="str">
        <f t="shared" ref="AB405:AB428" si="118">IF(D405&gt;0,IF(D405=AA405,"Sin Cambio","Cambió"),"")</f>
        <v/>
      </c>
      <c r="AC405" s="30" t="str">
        <f t="shared" ref="AC405:AC428" si="119">IF(E405&gt;0,IF(E405=AB405,"Sin Cambio","Cambió"),"")</f>
        <v>Sin Cambio</v>
      </c>
      <c r="AD405" s="29"/>
      <c r="AE405" s="29"/>
      <c r="AF405" s="29"/>
      <c r="AG405" s="31"/>
      <c r="AH405" s="31"/>
    </row>
    <row r="406" spans="1:34" s="26" customFormat="1" hidden="1" x14ac:dyDescent="0.25">
      <c r="A406" s="20"/>
      <c r="B406" s="20"/>
      <c r="C406" s="21"/>
      <c r="D406" s="22"/>
      <c r="E406" s="23" t="str">
        <f t="shared" si="114"/>
        <v/>
      </c>
      <c r="F406" s="23" t="str">
        <f t="shared" si="115"/>
        <v/>
      </c>
      <c r="G406" s="24"/>
      <c r="H406" s="24"/>
      <c r="I406" s="25"/>
      <c r="L406" s="27"/>
      <c r="M406" s="28"/>
      <c r="P406" s="18"/>
      <c r="Q406" s="2" t="str">
        <f t="shared" si="113"/>
        <v/>
      </c>
      <c r="U406" s="18" t="s">
        <v>15</v>
      </c>
      <c r="V406" s="18" t="str">
        <f t="shared" si="116"/>
        <v/>
      </c>
      <c r="W406" s="18" t="str">
        <f t="shared" si="117"/>
        <v/>
      </c>
      <c r="X406" s="18"/>
      <c r="Y406" s="18"/>
      <c r="AA406" s="22"/>
      <c r="AB406" s="29" t="str">
        <f t="shared" si="118"/>
        <v/>
      </c>
      <c r="AC406" s="30" t="str">
        <f t="shared" si="119"/>
        <v>Sin Cambio</v>
      </c>
      <c r="AD406" s="29"/>
      <c r="AE406" s="29"/>
      <c r="AF406" s="29"/>
      <c r="AG406" s="31"/>
      <c r="AH406" s="31"/>
    </row>
    <row r="407" spans="1:34" s="26" customFormat="1" hidden="1" x14ac:dyDescent="0.25">
      <c r="A407" s="20"/>
      <c r="B407" s="20"/>
      <c r="C407" s="21"/>
      <c r="D407" s="22"/>
      <c r="E407" s="23" t="str">
        <f t="shared" si="114"/>
        <v/>
      </c>
      <c r="F407" s="23" t="str">
        <f t="shared" si="115"/>
        <v/>
      </c>
      <c r="G407" s="24"/>
      <c r="H407" s="24"/>
      <c r="I407" s="25"/>
      <c r="L407" s="27"/>
      <c r="M407" s="28"/>
      <c r="P407" s="18"/>
      <c r="Q407" s="2" t="str">
        <f t="shared" si="113"/>
        <v/>
      </c>
      <c r="U407" s="26" t="s">
        <v>15</v>
      </c>
      <c r="V407" s="18" t="str">
        <f t="shared" si="116"/>
        <v/>
      </c>
      <c r="W407" s="18" t="str">
        <f t="shared" si="117"/>
        <v/>
      </c>
      <c r="X407" s="18"/>
      <c r="Y407" s="18"/>
      <c r="AA407" s="22"/>
      <c r="AB407" s="29" t="str">
        <f t="shared" si="118"/>
        <v/>
      </c>
      <c r="AC407" s="30" t="str">
        <f t="shared" si="119"/>
        <v>Sin Cambio</v>
      </c>
      <c r="AD407" s="29"/>
      <c r="AE407" s="29"/>
      <c r="AF407" s="29"/>
      <c r="AG407" s="31"/>
      <c r="AH407" s="31"/>
    </row>
    <row r="408" spans="1:34" s="26" customFormat="1" hidden="1" x14ac:dyDescent="0.25">
      <c r="A408" s="20"/>
      <c r="B408" s="20"/>
      <c r="C408" s="21"/>
      <c r="D408" s="22"/>
      <c r="E408" s="23" t="str">
        <f t="shared" si="114"/>
        <v/>
      </c>
      <c r="F408" s="23" t="str">
        <f t="shared" si="115"/>
        <v/>
      </c>
      <c r="G408" s="24"/>
      <c r="H408" s="24"/>
      <c r="I408" s="25"/>
      <c r="L408" s="27"/>
      <c r="M408" s="28"/>
      <c r="P408" s="18"/>
      <c r="Q408" s="2" t="str">
        <f t="shared" si="113"/>
        <v/>
      </c>
      <c r="U408" s="18" t="s">
        <v>15</v>
      </c>
      <c r="V408" s="18" t="str">
        <f t="shared" si="116"/>
        <v/>
      </c>
      <c r="W408" s="18" t="str">
        <f t="shared" si="117"/>
        <v/>
      </c>
      <c r="X408" s="18"/>
      <c r="Y408" s="18"/>
      <c r="AA408" s="22"/>
      <c r="AB408" s="29" t="str">
        <f t="shared" si="118"/>
        <v/>
      </c>
      <c r="AC408" s="30" t="str">
        <f t="shared" si="119"/>
        <v>Sin Cambio</v>
      </c>
      <c r="AD408" s="29"/>
      <c r="AE408" s="29"/>
      <c r="AF408" s="29"/>
      <c r="AG408" s="31"/>
      <c r="AH408" s="31"/>
    </row>
    <row r="409" spans="1:34" s="26" customFormat="1" hidden="1" x14ac:dyDescent="0.25">
      <c r="A409" s="20"/>
      <c r="B409" s="20"/>
      <c r="C409" s="21"/>
      <c r="D409" s="22"/>
      <c r="E409" s="23" t="str">
        <f t="shared" si="114"/>
        <v/>
      </c>
      <c r="F409" s="23" t="str">
        <f t="shared" si="115"/>
        <v/>
      </c>
      <c r="G409" s="24"/>
      <c r="H409" s="24"/>
      <c r="I409" s="25"/>
      <c r="L409" s="27"/>
      <c r="M409" s="28"/>
      <c r="P409" s="18"/>
      <c r="Q409" s="2" t="str">
        <f t="shared" si="113"/>
        <v/>
      </c>
      <c r="U409" s="18" t="s">
        <v>15</v>
      </c>
      <c r="V409" s="18" t="str">
        <f t="shared" si="116"/>
        <v/>
      </c>
      <c r="W409" s="18" t="str">
        <f t="shared" si="117"/>
        <v/>
      </c>
      <c r="X409" s="18"/>
      <c r="Y409" s="18"/>
      <c r="AA409" s="22"/>
      <c r="AB409" s="29" t="str">
        <f t="shared" si="118"/>
        <v/>
      </c>
      <c r="AC409" s="30" t="str">
        <f t="shared" si="119"/>
        <v>Sin Cambio</v>
      </c>
      <c r="AD409" s="29"/>
      <c r="AE409" s="29"/>
      <c r="AF409" s="29"/>
      <c r="AG409" s="31"/>
      <c r="AH409" s="31"/>
    </row>
    <row r="410" spans="1:34" s="26" customFormat="1" hidden="1" x14ac:dyDescent="0.25">
      <c r="A410" s="20"/>
      <c r="B410" s="20"/>
      <c r="C410" s="21"/>
      <c r="D410" s="22"/>
      <c r="E410" s="23" t="str">
        <f t="shared" si="114"/>
        <v/>
      </c>
      <c r="F410" s="23" t="str">
        <f t="shared" si="115"/>
        <v/>
      </c>
      <c r="G410" s="24"/>
      <c r="H410" s="24"/>
      <c r="I410" s="25"/>
      <c r="L410" s="27"/>
      <c r="M410" s="28"/>
      <c r="P410" s="18"/>
      <c r="Q410" s="2" t="str">
        <f t="shared" si="113"/>
        <v/>
      </c>
      <c r="U410" s="18" t="s">
        <v>15</v>
      </c>
      <c r="V410" s="18" t="str">
        <f t="shared" si="116"/>
        <v/>
      </c>
      <c r="W410" s="18" t="str">
        <f t="shared" si="117"/>
        <v/>
      </c>
      <c r="X410" s="18"/>
      <c r="Y410" s="18"/>
      <c r="AA410" s="22"/>
      <c r="AB410" s="29" t="str">
        <f t="shared" si="118"/>
        <v/>
      </c>
      <c r="AC410" s="30" t="str">
        <f t="shared" si="119"/>
        <v>Sin Cambio</v>
      </c>
      <c r="AD410" s="29"/>
      <c r="AE410" s="29"/>
      <c r="AF410" s="29"/>
      <c r="AG410" s="31"/>
      <c r="AH410" s="31"/>
    </row>
    <row r="411" spans="1:34" s="26" customFormat="1" hidden="1" x14ac:dyDescent="0.25">
      <c r="A411" s="20"/>
      <c r="B411" s="20"/>
      <c r="C411" s="21"/>
      <c r="D411" s="22"/>
      <c r="E411" s="23" t="str">
        <f t="shared" si="114"/>
        <v/>
      </c>
      <c r="F411" s="23" t="str">
        <f t="shared" si="115"/>
        <v/>
      </c>
      <c r="G411" s="24"/>
      <c r="H411" s="24"/>
      <c r="I411" s="25"/>
      <c r="L411" s="27"/>
      <c r="M411" s="28"/>
      <c r="P411" s="18"/>
      <c r="Q411" s="2" t="str">
        <f t="shared" si="113"/>
        <v/>
      </c>
      <c r="U411" s="18" t="s">
        <v>15</v>
      </c>
      <c r="V411" s="18" t="str">
        <f t="shared" si="116"/>
        <v/>
      </c>
      <c r="W411" s="18" t="str">
        <f t="shared" si="117"/>
        <v/>
      </c>
      <c r="X411" s="18"/>
      <c r="Y411" s="18"/>
      <c r="AA411" s="22"/>
      <c r="AB411" s="29" t="str">
        <f t="shared" si="118"/>
        <v/>
      </c>
      <c r="AC411" s="30" t="str">
        <f t="shared" si="119"/>
        <v>Sin Cambio</v>
      </c>
      <c r="AD411" s="29"/>
      <c r="AE411" s="29"/>
      <c r="AF411" s="29"/>
      <c r="AG411" s="31"/>
      <c r="AH411" s="31"/>
    </row>
    <row r="412" spans="1:34" s="26" customFormat="1" hidden="1" x14ac:dyDescent="0.25">
      <c r="A412" s="20"/>
      <c r="B412" s="20"/>
      <c r="C412" s="21"/>
      <c r="D412" s="22"/>
      <c r="E412" s="23" t="str">
        <f t="shared" si="114"/>
        <v/>
      </c>
      <c r="F412" s="23" t="str">
        <f t="shared" si="115"/>
        <v/>
      </c>
      <c r="G412" s="24"/>
      <c r="H412" s="24"/>
      <c r="I412" s="25"/>
      <c r="L412" s="27"/>
      <c r="M412" s="28"/>
      <c r="P412" s="18"/>
      <c r="Q412" s="2" t="str">
        <f t="shared" si="113"/>
        <v/>
      </c>
      <c r="U412" s="18" t="s">
        <v>15</v>
      </c>
      <c r="V412" s="18" t="str">
        <f t="shared" si="116"/>
        <v/>
      </c>
      <c r="W412" s="18" t="str">
        <f t="shared" si="117"/>
        <v/>
      </c>
      <c r="X412" s="18"/>
      <c r="Y412" s="18"/>
      <c r="AA412" s="22"/>
      <c r="AB412" s="29" t="str">
        <f t="shared" si="118"/>
        <v/>
      </c>
      <c r="AC412" s="30" t="str">
        <f t="shared" si="119"/>
        <v>Sin Cambio</v>
      </c>
      <c r="AD412" s="29"/>
      <c r="AE412" s="29"/>
      <c r="AF412" s="29"/>
      <c r="AG412" s="31"/>
      <c r="AH412" s="31"/>
    </row>
    <row r="413" spans="1:34" s="26" customFormat="1" hidden="1" x14ac:dyDescent="0.25">
      <c r="A413" s="20"/>
      <c r="B413" s="20"/>
      <c r="C413" s="21"/>
      <c r="D413" s="22"/>
      <c r="E413" s="23" t="str">
        <f t="shared" si="114"/>
        <v/>
      </c>
      <c r="F413" s="23" t="str">
        <f t="shared" si="115"/>
        <v/>
      </c>
      <c r="G413" s="24"/>
      <c r="H413" s="24"/>
      <c r="I413" s="25"/>
      <c r="L413" s="27"/>
      <c r="M413" s="28"/>
      <c r="P413" s="18"/>
      <c r="Q413" s="2" t="str">
        <f t="shared" si="113"/>
        <v/>
      </c>
      <c r="U413" s="18" t="s">
        <v>15</v>
      </c>
      <c r="V413" s="18" t="str">
        <f t="shared" si="116"/>
        <v/>
      </c>
      <c r="W413" s="18" t="str">
        <f t="shared" si="117"/>
        <v/>
      </c>
      <c r="X413" s="18"/>
      <c r="Y413" s="18"/>
      <c r="AA413" s="22"/>
      <c r="AB413" s="29" t="str">
        <f t="shared" si="118"/>
        <v/>
      </c>
      <c r="AC413" s="30" t="str">
        <f t="shared" si="119"/>
        <v>Sin Cambio</v>
      </c>
      <c r="AD413" s="29"/>
      <c r="AE413" s="29"/>
      <c r="AF413" s="29"/>
      <c r="AG413" s="31"/>
      <c r="AH413" s="31"/>
    </row>
    <row r="414" spans="1:34" s="26" customFormat="1" hidden="1" x14ac:dyDescent="0.25">
      <c r="A414" s="20"/>
      <c r="B414" s="20"/>
      <c r="C414" s="21"/>
      <c r="D414" s="22"/>
      <c r="E414" s="23" t="str">
        <f t="shared" si="114"/>
        <v/>
      </c>
      <c r="F414" s="23" t="str">
        <f t="shared" si="115"/>
        <v/>
      </c>
      <c r="G414" s="24"/>
      <c r="H414" s="24"/>
      <c r="I414" s="25"/>
      <c r="L414" s="27"/>
      <c r="M414" s="28"/>
      <c r="P414" s="18"/>
      <c r="Q414" s="2" t="str">
        <f t="shared" si="113"/>
        <v/>
      </c>
      <c r="U414" s="18" t="s">
        <v>15</v>
      </c>
      <c r="V414" s="18" t="str">
        <f t="shared" si="116"/>
        <v/>
      </c>
      <c r="W414" s="18" t="str">
        <f t="shared" si="117"/>
        <v/>
      </c>
      <c r="X414" s="18"/>
      <c r="Y414" s="18"/>
      <c r="AA414" s="22"/>
      <c r="AB414" s="29" t="str">
        <f t="shared" si="118"/>
        <v/>
      </c>
      <c r="AC414" s="30" t="str">
        <f t="shared" si="119"/>
        <v>Sin Cambio</v>
      </c>
      <c r="AD414" s="29"/>
      <c r="AE414" s="29"/>
      <c r="AF414" s="29"/>
      <c r="AG414" s="31"/>
      <c r="AH414" s="31"/>
    </row>
    <row r="415" spans="1:34" s="26" customFormat="1" hidden="1" x14ac:dyDescent="0.25">
      <c r="A415" s="20"/>
      <c r="B415" s="20"/>
      <c r="C415" s="21"/>
      <c r="D415" s="22"/>
      <c r="E415" s="23" t="str">
        <f t="shared" si="114"/>
        <v/>
      </c>
      <c r="F415" s="23" t="str">
        <f t="shared" si="115"/>
        <v/>
      </c>
      <c r="G415" s="24"/>
      <c r="H415" s="24"/>
      <c r="I415" s="25"/>
      <c r="L415" s="27"/>
      <c r="M415" s="28"/>
      <c r="P415" s="18"/>
      <c r="Q415" s="2" t="str">
        <f t="shared" si="113"/>
        <v/>
      </c>
      <c r="U415" s="18" t="s">
        <v>15</v>
      </c>
      <c r="V415" s="18" t="str">
        <f t="shared" si="116"/>
        <v/>
      </c>
      <c r="W415" s="18" t="str">
        <f t="shared" si="117"/>
        <v/>
      </c>
      <c r="X415" s="18"/>
      <c r="Y415" s="18"/>
      <c r="AA415" s="22"/>
      <c r="AB415" s="29" t="str">
        <f t="shared" si="118"/>
        <v/>
      </c>
      <c r="AC415" s="30" t="str">
        <f t="shared" si="119"/>
        <v>Sin Cambio</v>
      </c>
      <c r="AD415" s="29"/>
      <c r="AE415" s="29"/>
      <c r="AF415" s="29"/>
      <c r="AG415" s="31"/>
      <c r="AH415" s="31"/>
    </row>
    <row r="416" spans="1:34" s="26" customFormat="1" hidden="1" x14ac:dyDescent="0.25">
      <c r="A416" s="20"/>
      <c r="B416" s="20"/>
      <c r="C416" s="21"/>
      <c r="D416" s="22"/>
      <c r="E416" s="23" t="str">
        <f t="shared" si="114"/>
        <v/>
      </c>
      <c r="F416" s="23" t="str">
        <f t="shared" si="115"/>
        <v/>
      </c>
      <c r="G416" s="24"/>
      <c r="H416" s="24"/>
      <c r="I416" s="25"/>
      <c r="L416" s="27"/>
      <c r="M416" s="28"/>
      <c r="P416" s="18"/>
      <c r="Q416" s="2" t="str">
        <f t="shared" si="113"/>
        <v/>
      </c>
      <c r="U416" s="18" t="s">
        <v>15</v>
      </c>
      <c r="V416" s="18" t="str">
        <f t="shared" si="116"/>
        <v/>
      </c>
      <c r="W416" s="18" t="str">
        <f t="shared" si="117"/>
        <v/>
      </c>
      <c r="X416" s="18"/>
      <c r="Y416" s="18"/>
      <c r="AA416" s="22"/>
      <c r="AB416" s="29" t="str">
        <f t="shared" si="118"/>
        <v/>
      </c>
      <c r="AC416" s="30" t="str">
        <f t="shared" si="119"/>
        <v>Sin Cambio</v>
      </c>
      <c r="AD416" s="29"/>
      <c r="AE416" s="29"/>
      <c r="AF416" s="29"/>
      <c r="AG416" s="31"/>
      <c r="AH416" s="31"/>
    </row>
    <row r="417" spans="1:34" s="26" customFormat="1" hidden="1" x14ac:dyDescent="0.25">
      <c r="A417" s="20"/>
      <c r="B417" s="20"/>
      <c r="C417" s="21"/>
      <c r="D417" s="22"/>
      <c r="E417" s="23" t="str">
        <f t="shared" si="114"/>
        <v/>
      </c>
      <c r="F417" s="23" t="str">
        <f t="shared" si="115"/>
        <v/>
      </c>
      <c r="G417" s="24"/>
      <c r="H417" s="24"/>
      <c r="I417" s="25"/>
      <c r="L417" s="27"/>
      <c r="M417" s="28"/>
      <c r="P417" s="18"/>
      <c r="Q417" s="2" t="str">
        <f t="shared" si="113"/>
        <v/>
      </c>
      <c r="U417" s="18" t="s">
        <v>15</v>
      </c>
      <c r="V417" s="18" t="str">
        <f t="shared" si="116"/>
        <v/>
      </c>
      <c r="W417" s="18" t="str">
        <f t="shared" si="117"/>
        <v/>
      </c>
      <c r="X417" s="18"/>
      <c r="Y417" s="18"/>
      <c r="AA417" s="22"/>
      <c r="AB417" s="29" t="str">
        <f t="shared" si="118"/>
        <v/>
      </c>
      <c r="AC417" s="30" t="str">
        <f t="shared" si="119"/>
        <v>Sin Cambio</v>
      </c>
      <c r="AD417" s="29"/>
      <c r="AE417" s="29"/>
      <c r="AF417" s="29"/>
      <c r="AG417" s="31"/>
      <c r="AH417" s="31"/>
    </row>
    <row r="418" spans="1:34" s="26" customFormat="1" hidden="1" x14ac:dyDescent="0.25">
      <c r="A418" s="20"/>
      <c r="B418" s="20"/>
      <c r="C418" s="21"/>
      <c r="D418" s="22"/>
      <c r="E418" s="23" t="str">
        <f t="shared" si="114"/>
        <v/>
      </c>
      <c r="F418" s="23" t="str">
        <f t="shared" si="115"/>
        <v/>
      </c>
      <c r="G418" s="24"/>
      <c r="H418" s="24"/>
      <c r="I418" s="25"/>
      <c r="L418" s="27"/>
      <c r="M418" s="28"/>
      <c r="P418" s="18"/>
      <c r="Q418" s="2" t="str">
        <f t="shared" si="113"/>
        <v/>
      </c>
      <c r="U418" s="18" t="s">
        <v>15</v>
      </c>
      <c r="V418" s="18" t="str">
        <f t="shared" si="116"/>
        <v/>
      </c>
      <c r="W418" s="18" t="str">
        <f t="shared" si="117"/>
        <v/>
      </c>
      <c r="X418" s="18"/>
      <c r="Y418" s="18"/>
      <c r="AA418" s="22"/>
      <c r="AB418" s="29" t="str">
        <f t="shared" si="118"/>
        <v/>
      </c>
      <c r="AC418" s="30" t="str">
        <f t="shared" si="119"/>
        <v>Sin Cambio</v>
      </c>
      <c r="AD418" s="29"/>
      <c r="AE418" s="29"/>
      <c r="AF418" s="29"/>
      <c r="AG418" s="31"/>
      <c r="AH418" s="31"/>
    </row>
    <row r="419" spans="1:34" s="26" customFormat="1" hidden="1" x14ac:dyDescent="0.25">
      <c r="A419" s="20"/>
      <c r="B419" s="20"/>
      <c r="C419" s="21"/>
      <c r="D419" s="22"/>
      <c r="E419" s="23" t="str">
        <f t="shared" si="114"/>
        <v/>
      </c>
      <c r="F419" s="23" t="str">
        <f t="shared" si="115"/>
        <v/>
      </c>
      <c r="G419" s="24"/>
      <c r="H419" s="24"/>
      <c r="I419" s="25"/>
      <c r="L419" s="27"/>
      <c r="M419" s="28"/>
      <c r="P419" s="18"/>
      <c r="Q419" s="2" t="str">
        <f t="shared" si="113"/>
        <v/>
      </c>
      <c r="U419" s="18" t="s">
        <v>15</v>
      </c>
      <c r="V419" s="18" t="str">
        <f t="shared" si="116"/>
        <v/>
      </c>
      <c r="W419" s="18" t="str">
        <f t="shared" si="117"/>
        <v/>
      </c>
      <c r="X419" s="18"/>
      <c r="Y419" s="18"/>
      <c r="AA419" s="22"/>
      <c r="AB419" s="29" t="str">
        <f t="shared" si="118"/>
        <v/>
      </c>
      <c r="AC419" s="30" t="str">
        <f t="shared" si="119"/>
        <v>Sin Cambio</v>
      </c>
      <c r="AD419" s="29"/>
      <c r="AE419" s="29"/>
      <c r="AF419" s="29"/>
      <c r="AG419" s="31"/>
      <c r="AH419" s="31"/>
    </row>
    <row r="420" spans="1:34" s="26" customFormat="1" hidden="1" x14ac:dyDescent="0.25">
      <c r="A420" s="20"/>
      <c r="B420" s="20"/>
      <c r="C420" s="21"/>
      <c r="D420" s="22"/>
      <c r="E420" s="23" t="str">
        <f t="shared" si="114"/>
        <v/>
      </c>
      <c r="F420" s="23" t="str">
        <f t="shared" si="115"/>
        <v/>
      </c>
      <c r="G420" s="24"/>
      <c r="H420" s="24"/>
      <c r="I420" s="25"/>
      <c r="L420" s="27"/>
      <c r="M420" s="28"/>
      <c r="P420" s="18"/>
      <c r="Q420" s="2" t="str">
        <f t="shared" si="113"/>
        <v/>
      </c>
      <c r="U420" s="18" t="s">
        <v>15</v>
      </c>
      <c r="V420" s="18" t="str">
        <f t="shared" si="116"/>
        <v/>
      </c>
      <c r="W420" s="18" t="str">
        <f t="shared" si="117"/>
        <v/>
      </c>
      <c r="X420" s="18"/>
      <c r="Y420" s="18"/>
      <c r="AA420" s="22"/>
      <c r="AB420" s="29" t="str">
        <f t="shared" si="118"/>
        <v/>
      </c>
      <c r="AC420" s="30" t="str">
        <f t="shared" si="119"/>
        <v>Sin Cambio</v>
      </c>
      <c r="AD420" s="29"/>
      <c r="AE420" s="29"/>
      <c r="AF420" s="29"/>
      <c r="AG420" s="31"/>
      <c r="AH420" s="31"/>
    </row>
    <row r="421" spans="1:34" s="26" customFormat="1" hidden="1" x14ac:dyDescent="0.25">
      <c r="A421" s="20"/>
      <c r="B421" s="20"/>
      <c r="C421" s="21"/>
      <c r="D421" s="22"/>
      <c r="E421" s="23" t="str">
        <f t="shared" si="114"/>
        <v/>
      </c>
      <c r="F421" s="23" t="str">
        <f t="shared" si="115"/>
        <v/>
      </c>
      <c r="G421" s="24"/>
      <c r="H421" s="24"/>
      <c r="I421" s="25"/>
      <c r="L421" s="27"/>
      <c r="M421" s="28"/>
      <c r="P421" s="18"/>
      <c r="Q421" s="2" t="str">
        <f t="shared" si="113"/>
        <v/>
      </c>
      <c r="U421" s="18" t="s">
        <v>15</v>
      </c>
      <c r="V421" s="18" t="str">
        <f t="shared" si="116"/>
        <v/>
      </c>
      <c r="W421" s="18" t="str">
        <f t="shared" si="117"/>
        <v/>
      </c>
      <c r="X421" s="18"/>
      <c r="Y421" s="18"/>
      <c r="AA421" s="22"/>
      <c r="AB421" s="29" t="str">
        <f t="shared" si="118"/>
        <v/>
      </c>
      <c r="AC421" s="30" t="str">
        <f t="shared" si="119"/>
        <v>Sin Cambio</v>
      </c>
      <c r="AD421" s="29"/>
      <c r="AE421" s="29"/>
      <c r="AF421" s="29"/>
      <c r="AG421" s="31"/>
      <c r="AH421" s="31"/>
    </row>
    <row r="422" spans="1:34" s="26" customFormat="1" hidden="1" x14ac:dyDescent="0.25">
      <c r="A422" s="20"/>
      <c r="B422" s="20"/>
      <c r="C422" s="21"/>
      <c r="D422" s="22"/>
      <c r="E422" s="23" t="str">
        <f t="shared" si="114"/>
        <v/>
      </c>
      <c r="F422" s="23" t="str">
        <f t="shared" si="115"/>
        <v/>
      </c>
      <c r="G422" s="24"/>
      <c r="H422" s="24"/>
      <c r="I422" s="25"/>
      <c r="L422" s="27"/>
      <c r="M422" s="28"/>
      <c r="P422" s="18"/>
      <c r="Q422" s="2" t="str">
        <f t="shared" si="113"/>
        <v/>
      </c>
      <c r="U422" s="18" t="s">
        <v>15</v>
      </c>
      <c r="V422" s="18" t="str">
        <f t="shared" si="116"/>
        <v/>
      </c>
      <c r="W422" s="18" t="str">
        <f t="shared" si="117"/>
        <v/>
      </c>
      <c r="X422" s="18"/>
      <c r="Y422" s="18"/>
      <c r="AA422" s="22"/>
      <c r="AB422" s="29" t="str">
        <f t="shared" si="118"/>
        <v/>
      </c>
      <c r="AC422" s="30" t="str">
        <f t="shared" si="119"/>
        <v>Sin Cambio</v>
      </c>
      <c r="AD422" s="29"/>
      <c r="AE422" s="29"/>
      <c r="AF422" s="29"/>
      <c r="AG422" s="31"/>
      <c r="AH422" s="31"/>
    </row>
    <row r="423" spans="1:34" s="26" customFormat="1" hidden="1" x14ac:dyDescent="0.25">
      <c r="A423" s="20"/>
      <c r="B423" s="20"/>
      <c r="C423" s="21"/>
      <c r="D423" s="22"/>
      <c r="E423" s="23" t="str">
        <f t="shared" si="114"/>
        <v/>
      </c>
      <c r="F423" s="23" t="str">
        <f t="shared" si="115"/>
        <v/>
      </c>
      <c r="G423" s="24"/>
      <c r="H423" s="24"/>
      <c r="I423" s="25"/>
      <c r="L423" s="27"/>
      <c r="M423" s="28"/>
      <c r="P423" s="18"/>
      <c r="Q423" s="2" t="str">
        <f t="shared" si="113"/>
        <v/>
      </c>
      <c r="U423" s="18" t="s">
        <v>15</v>
      </c>
      <c r="V423" s="18" t="str">
        <f t="shared" si="116"/>
        <v/>
      </c>
      <c r="W423" s="18" t="str">
        <f t="shared" si="117"/>
        <v/>
      </c>
      <c r="X423" s="18"/>
      <c r="Y423" s="18"/>
      <c r="AA423" s="22"/>
      <c r="AB423" s="29" t="str">
        <f t="shared" si="118"/>
        <v/>
      </c>
      <c r="AC423" s="30" t="str">
        <f t="shared" si="119"/>
        <v>Sin Cambio</v>
      </c>
      <c r="AD423" s="29"/>
      <c r="AE423" s="29"/>
      <c r="AF423" s="29"/>
      <c r="AG423" s="31"/>
      <c r="AH423" s="31"/>
    </row>
    <row r="424" spans="1:34" s="26" customFormat="1" hidden="1" x14ac:dyDescent="0.25">
      <c r="A424" s="20"/>
      <c r="B424" s="20"/>
      <c r="C424" s="21"/>
      <c r="D424" s="22"/>
      <c r="E424" s="23" t="str">
        <f t="shared" si="114"/>
        <v/>
      </c>
      <c r="F424" s="23" t="str">
        <f t="shared" si="115"/>
        <v/>
      </c>
      <c r="G424" s="24"/>
      <c r="H424" s="24"/>
      <c r="I424" s="25"/>
      <c r="L424" s="27"/>
      <c r="M424" s="28"/>
      <c r="P424" s="18"/>
      <c r="Q424" s="2" t="str">
        <f t="shared" si="113"/>
        <v/>
      </c>
      <c r="U424" s="18" t="s">
        <v>15</v>
      </c>
      <c r="V424" s="18" t="str">
        <f t="shared" si="116"/>
        <v/>
      </c>
      <c r="W424" s="18" t="str">
        <f t="shared" si="117"/>
        <v/>
      </c>
      <c r="X424" s="18"/>
      <c r="Y424" s="18"/>
      <c r="AA424" s="22"/>
      <c r="AB424" s="29" t="str">
        <f t="shared" si="118"/>
        <v/>
      </c>
      <c r="AC424" s="30" t="str">
        <f t="shared" si="119"/>
        <v>Sin Cambio</v>
      </c>
      <c r="AD424" s="29"/>
      <c r="AE424" s="29"/>
      <c r="AF424" s="29"/>
      <c r="AG424" s="31"/>
      <c r="AH424" s="31"/>
    </row>
    <row r="425" spans="1:34" s="26" customFormat="1" ht="63" hidden="1" customHeight="1" x14ac:dyDescent="0.25">
      <c r="A425" s="20"/>
      <c r="B425" s="20"/>
      <c r="C425" s="21"/>
      <c r="D425" s="22"/>
      <c r="E425" s="23" t="str">
        <f t="shared" si="114"/>
        <v/>
      </c>
      <c r="F425" s="23" t="str">
        <f t="shared" si="115"/>
        <v/>
      </c>
      <c r="G425" s="24"/>
      <c r="H425" s="24"/>
      <c r="I425" s="25"/>
      <c r="L425" s="27"/>
      <c r="M425" s="28"/>
      <c r="P425" s="18"/>
      <c r="Q425" s="2" t="str">
        <f t="shared" si="113"/>
        <v/>
      </c>
      <c r="U425" s="18" t="s">
        <v>15</v>
      </c>
      <c r="V425" s="18" t="str">
        <f t="shared" si="116"/>
        <v/>
      </c>
      <c r="W425" s="18" t="str">
        <f t="shared" si="117"/>
        <v/>
      </c>
      <c r="X425" s="18"/>
      <c r="Y425" s="18"/>
      <c r="AA425" s="22"/>
      <c r="AB425" s="29" t="str">
        <f t="shared" si="118"/>
        <v/>
      </c>
      <c r="AC425" s="30" t="str">
        <f t="shared" si="119"/>
        <v>Sin Cambio</v>
      </c>
      <c r="AD425" s="29"/>
      <c r="AE425" s="29"/>
      <c r="AF425" s="29"/>
      <c r="AG425" s="31"/>
      <c r="AH425" s="31"/>
    </row>
    <row r="426" spans="1:34" s="26" customFormat="1" ht="83.25" hidden="1" customHeight="1" x14ac:dyDescent="0.25">
      <c r="A426" s="20"/>
      <c r="B426" s="20"/>
      <c r="C426" s="21"/>
      <c r="D426" s="22"/>
      <c r="E426" s="23" t="str">
        <f t="shared" si="114"/>
        <v/>
      </c>
      <c r="F426" s="23" t="str">
        <f t="shared" si="115"/>
        <v/>
      </c>
      <c r="G426" s="24"/>
      <c r="H426" s="38"/>
      <c r="I426" s="25"/>
      <c r="L426" s="27"/>
      <c r="M426" s="28"/>
      <c r="P426" s="18"/>
      <c r="Q426" s="2" t="str">
        <f t="shared" si="113"/>
        <v/>
      </c>
      <c r="U426" s="18" t="s">
        <v>15</v>
      </c>
      <c r="V426" s="18" t="str">
        <f t="shared" si="116"/>
        <v/>
      </c>
      <c r="W426" s="18" t="str">
        <f t="shared" ref="W426:W451" si="120">IF(L426="","","CAP")</f>
        <v/>
      </c>
      <c r="X426" s="18"/>
      <c r="Y426" s="18"/>
      <c r="AA426" s="22"/>
      <c r="AB426" s="29" t="str">
        <f t="shared" si="118"/>
        <v/>
      </c>
      <c r="AC426" s="30" t="str">
        <f t="shared" si="119"/>
        <v>Sin Cambio</v>
      </c>
      <c r="AD426" s="29"/>
      <c r="AE426" s="29"/>
      <c r="AF426" s="29"/>
      <c r="AG426" s="31"/>
      <c r="AH426" s="31"/>
    </row>
    <row r="427" spans="1:34" s="26" customFormat="1" hidden="1" x14ac:dyDescent="0.25">
      <c r="A427" s="20"/>
      <c r="B427" s="20"/>
      <c r="C427" s="21"/>
      <c r="D427" s="22"/>
      <c r="E427" s="23"/>
      <c r="F427" s="23"/>
      <c r="G427" s="24"/>
      <c r="H427" s="24"/>
      <c r="I427" s="25"/>
      <c r="L427" s="27"/>
      <c r="M427" s="28"/>
      <c r="P427" s="18"/>
      <c r="Q427" s="2" t="str">
        <f t="shared" si="113"/>
        <v/>
      </c>
      <c r="U427" s="18" t="s">
        <v>15</v>
      </c>
      <c r="V427" s="18" t="str">
        <f t="shared" si="116"/>
        <v/>
      </c>
      <c r="W427" s="18" t="str">
        <f t="shared" si="120"/>
        <v/>
      </c>
      <c r="X427" s="18"/>
      <c r="Y427" s="18"/>
      <c r="AA427" s="22"/>
      <c r="AB427" s="29" t="str">
        <f t="shared" si="118"/>
        <v/>
      </c>
      <c r="AC427" s="30" t="str">
        <f t="shared" si="119"/>
        <v/>
      </c>
      <c r="AD427" s="29"/>
      <c r="AE427" s="29"/>
      <c r="AF427" s="29"/>
      <c r="AG427" s="31"/>
      <c r="AH427" s="31"/>
    </row>
    <row r="428" spans="1:34" s="26" customFormat="1" x14ac:dyDescent="0.25">
      <c r="C428" s="39" t="s">
        <v>28</v>
      </c>
      <c r="D428" s="40">
        <f>SUBTOTAL(9,D12:D427)</f>
        <v>125184531.46000001</v>
      </c>
      <c r="G428" s="41"/>
      <c r="H428" s="18"/>
      <c r="I428" s="42">
        <f>SUBTOTAL(9,I12:I427)</f>
        <v>31224</v>
      </c>
      <c r="L428" s="28" t="s">
        <v>22</v>
      </c>
      <c r="M428" s="28" t="s">
        <v>22</v>
      </c>
      <c r="P428" s="18"/>
      <c r="Q428" s="2" t="str">
        <f t="shared" si="113"/>
        <v>Imprimir</v>
      </c>
      <c r="R428" s="2"/>
      <c r="S428" s="2"/>
      <c r="T428" s="2"/>
      <c r="V428" s="18" t="s">
        <v>17</v>
      </c>
      <c r="W428" s="18" t="str">
        <f t="shared" si="120"/>
        <v>CAP</v>
      </c>
      <c r="X428" s="18"/>
      <c r="Y428" s="18"/>
      <c r="AA428" s="40">
        <f>SUBTOTAL(9,AA12:AA427)</f>
        <v>3336915.0799999996</v>
      </c>
      <c r="AB428" s="29" t="str">
        <f t="shared" si="118"/>
        <v>Cambió</v>
      </c>
      <c r="AC428" s="30" t="str">
        <f t="shared" si="119"/>
        <v/>
      </c>
      <c r="AD428" s="29" t="str">
        <f>IF(F428&gt;0,IF(F428=AC428,"Sin Cambio","Cambió"),"")</f>
        <v/>
      </c>
      <c r="AE428" s="29" t="str">
        <f>IF(G428&gt;0,IF(G428=AD428,"Sin Cambio","Cambió"),"")</f>
        <v/>
      </c>
      <c r="AF428" s="29" t="str">
        <f>IF(H428&gt;0,IF(H428=AE428,"Sin Cambio","Cambió"),"")</f>
        <v/>
      </c>
      <c r="AG428" s="31"/>
      <c r="AH428" s="31"/>
    </row>
    <row r="429" spans="1:34" s="26" customFormat="1" hidden="1" x14ac:dyDescent="0.25">
      <c r="C429" s="39"/>
      <c r="D429" s="40"/>
      <c r="G429" s="41"/>
      <c r="H429" s="18"/>
      <c r="I429" s="42"/>
      <c r="L429" s="83"/>
      <c r="M429" s="28"/>
      <c r="P429" s="18"/>
      <c r="Q429" s="2"/>
      <c r="R429" s="2"/>
      <c r="S429" s="2"/>
      <c r="T429" s="2"/>
      <c r="V429" s="18"/>
      <c r="W429" s="18"/>
      <c r="X429" s="18"/>
      <c r="Y429" s="18"/>
      <c r="AA429" s="40"/>
      <c r="AB429" s="31"/>
      <c r="AC429" s="84"/>
      <c r="AD429" s="31"/>
      <c r="AE429" s="31"/>
      <c r="AF429" s="31"/>
      <c r="AG429" s="31"/>
      <c r="AH429" s="31"/>
    </row>
    <row r="430" spans="1:34" s="26" customFormat="1" hidden="1" x14ac:dyDescent="0.25">
      <c r="C430" s="39"/>
      <c r="D430" s="40"/>
      <c r="G430" s="41"/>
      <c r="H430" s="18"/>
      <c r="I430" s="42"/>
      <c r="L430" s="83"/>
      <c r="M430" s="28"/>
      <c r="P430" s="18"/>
      <c r="Q430" s="2"/>
      <c r="R430" s="2"/>
      <c r="S430" s="2"/>
      <c r="T430" s="2"/>
      <c r="V430" s="18"/>
      <c r="W430" s="18"/>
      <c r="X430" s="18"/>
      <c r="Y430" s="18"/>
      <c r="AA430" s="40"/>
      <c r="AB430" s="31"/>
      <c r="AC430" s="84"/>
      <c r="AD430" s="31"/>
      <c r="AE430" s="31"/>
      <c r="AF430" s="31"/>
      <c r="AG430" s="31"/>
      <c r="AH430" s="31"/>
    </row>
    <row r="431" spans="1:34" s="26" customFormat="1" hidden="1" x14ac:dyDescent="0.25">
      <c r="C431" s="39"/>
      <c r="D431" s="40"/>
      <c r="G431" s="41"/>
      <c r="H431" s="18"/>
      <c r="I431" s="42"/>
      <c r="L431" s="83"/>
      <c r="M431" s="28"/>
      <c r="P431" s="18"/>
      <c r="Q431" s="2"/>
      <c r="R431" s="2"/>
      <c r="S431" s="2"/>
      <c r="T431" s="2"/>
      <c r="V431" s="18"/>
      <c r="W431" s="18"/>
      <c r="X431" s="18"/>
      <c r="Y431" s="18"/>
      <c r="AA431" s="40"/>
      <c r="AB431" s="31"/>
      <c r="AC431" s="84"/>
      <c r="AD431" s="31"/>
      <c r="AE431" s="31"/>
      <c r="AF431" s="31"/>
      <c r="AG431" s="31"/>
      <c r="AH431" s="31"/>
    </row>
    <row r="432" spans="1:34" s="26" customFormat="1" x14ac:dyDescent="0.25">
      <c r="A432" s="99" t="s">
        <v>388</v>
      </c>
      <c r="B432" s="100"/>
      <c r="C432" s="100"/>
      <c r="D432" s="100"/>
      <c r="E432" s="100"/>
      <c r="F432" s="100"/>
      <c r="G432" s="100"/>
      <c r="H432" s="100"/>
      <c r="I432" s="100"/>
      <c r="L432" s="43" t="s">
        <v>21</v>
      </c>
      <c r="M432" s="28" t="s">
        <v>21</v>
      </c>
      <c r="P432" s="18"/>
      <c r="Q432" s="2" t="str">
        <f>IF(A432&lt;&gt;0,"Imprimir","")</f>
        <v>Imprimir</v>
      </c>
      <c r="R432" s="2"/>
      <c r="S432" s="2"/>
      <c r="T432" s="64"/>
      <c r="V432" s="18" t="s">
        <v>18</v>
      </c>
      <c r="W432" s="18" t="str">
        <f t="shared" si="120"/>
        <v>CAP</v>
      </c>
      <c r="X432" s="18"/>
      <c r="Y432" s="18"/>
      <c r="AC432" s="39"/>
    </row>
    <row r="433" spans="1:35" s="26" customFormat="1" ht="130.5" customHeight="1" x14ac:dyDescent="0.25">
      <c r="A433" s="67">
        <v>1</v>
      </c>
      <c r="B433" s="67" t="s">
        <v>377</v>
      </c>
      <c r="C433" s="21" t="s">
        <v>378</v>
      </c>
      <c r="D433" s="22">
        <v>550000</v>
      </c>
      <c r="E433" s="23" t="s">
        <v>11</v>
      </c>
      <c r="F433" s="23" t="s">
        <v>12</v>
      </c>
      <c r="G433" s="66" t="s">
        <v>45</v>
      </c>
      <c r="H433" s="66" t="s">
        <v>50</v>
      </c>
      <c r="I433" s="25">
        <v>720</v>
      </c>
      <c r="K433" s="26" t="str">
        <f>UPPER(C433)</f>
        <v>PROYECTO EJECUTIVO DE LA RED DE DRENAJE SANITARIO Y SISTEMA DE TRATAMIENTO EN LA LOCALIDAD LA LABOR, MUNICIPIO DE SAN FELIPE, GTO.</v>
      </c>
      <c r="L433" s="27">
        <v>44873</v>
      </c>
      <c r="M433" s="28" t="s">
        <v>26</v>
      </c>
      <c r="N433" s="26" t="str">
        <f t="shared" ref="N433:O438" si="121">IF(G433&lt;&gt;0,"Capturado","")</f>
        <v>Capturado</v>
      </c>
      <c r="P433" s="18"/>
      <c r="Q433" s="2" t="str">
        <f t="shared" ref="Q433:Q451" si="122">IF(C433&lt;&gt;0,"Imprimir","")</f>
        <v>Imprimir</v>
      </c>
      <c r="R433" s="2"/>
      <c r="S433" s="2"/>
      <c r="T433" s="64"/>
      <c r="V433" s="18" t="s">
        <v>15</v>
      </c>
      <c r="W433" s="18" t="str">
        <f t="shared" si="120"/>
        <v>CAP</v>
      </c>
      <c r="X433" s="18"/>
      <c r="Y433" s="18"/>
      <c r="AA433" s="22">
        <v>0</v>
      </c>
      <c r="AB433" s="29" t="str">
        <f t="shared" ref="AB433:AB451" si="123">IF(D433&gt;0,IF(D433=AA433,"Sin Cambio","Cambió"),"")</f>
        <v>Cambió</v>
      </c>
      <c r="AC433" s="30" t="s">
        <v>36</v>
      </c>
      <c r="AD433" s="29" t="s">
        <v>33</v>
      </c>
      <c r="AE433" s="29" t="s">
        <v>33</v>
      </c>
      <c r="AF433" s="29" t="s">
        <v>33</v>
      </c>
      <c r="AG433" s="31"/>
      <c r="AH433" s="44" t="s">
        <v>48</v>
      </c>
      <c r="AI433" s="26" t="s">
        <v>49</v>
      </c>
    </row>
    <row r="434" spans="1:35" s="26" customFormat="1" ht="92.25" customHeight="1" x14ac:dyDescent="0.25">
      <c r="A434" s="67">
        <v>2</v>
      </c>
      <c r="B434" s="82" t="s">
        <v>377</v>
      </c>
      <c r="C434" s="21" t="s">
        <v>379</v>
      </c>
      <c r="D434" s="22">
        <v>389404.9</v>
      </c>
      <c r="E434" s="23" t="s">
        <v>11</v>
      </c>
      <c r="F434" s="23" t="s">
        <v>12</v>
      </c>
      <c r="G434" s="66" t="s">
        <v>12</v>
      </c>
      <c r="H434" s="66" t="s">
        <v>50</v>
      </c>
      <c r="I434" s="25">
        <v>2369</v>
      </c>
      <c r="K434" s="26" t="str">
        <f t="shared" ref="K434:K442" si="124">UPPER(C434)</f>
        <v>PROYECTO EJECUTIVO PARA LA INTERVENCIÓN Y RESTAURACIÓN DE LA ESCUELA PRIMARIA PRIM. MIGUEL CAMPUZANO, LOCALIDAD SAN FELIPE, MUNICIPIO DE SAN FELIPE, GTO. (SEGUNDA ETAPA)</v>
      </c>
      <c r="L434" s="27">
        <v>44873</v>
      </c>
      <c r="M434" s="28" t="s">
        <v>26</v>
      </c>
      <c r="N434" s="26" t="str">
        <f t="shared" si="121"/>
        <v>Capturado</v>
      </c>
      <c r="P434" s="18"/>
      <c r="Q434" s="2" t="str">
        <f t="shared" si="122"/>
        <v>Imprimir</v>
      </c>
      <c r="R434" s="2"/>
      <c r="S434" s="2"/>
      <c r="T434" s="64"/>
      <c r="V434" s="18" t="s">
        <v>15</v>
      </c>
      <c r="W434" s="18" t="str">
        <f t="shared" si="120"/>
        <v>CAP</v>
      </c>
      <c r="X434" s="18"/>
      <c r="Y434" s="18"/>
      <c r="AA434" s="22"/>
      <c r="AB434" s="29" t="str">
        <f t="shared" si="123"/>
        <v>Cambió</v>
      </c>
      <c r="AC434" s="30" t="s">
        <v>36</v>
      </c>
      <c r="AD434" s="29" t="s">
        <v>33</v>
      </c>
      <c r="AE434" s="29" t="s">
        <v>33</v>
      </c>
      <c r="AF434" s="29" t="s">
        <v>33</v>
      </c>
      <c r="AG434" s="31"/>
      <c r="AH434" s="44" t="s">
        <v>51</v>
      </c>
      <c r="AI434" s="26" t="s">
        <v>49</v>
      </c>
    </row>
    <row r="435" spans="1:35" s="26" customFormat="1" ht="151.5" customHeight="1" x14ac:dyDescent="0.25">
      <c r="A435" s="67">
        <v>3</v>
      </c>
      <c r="B435" s="82" t="s">
        <v>377</v>
      </c>
      <c r="C435" s="21" t="s">
        <v>380</v>
      </c>
      <c r="D435" s="22">
        <v>425000</v>
      </c>
      <c r="E435" s="23" t="s">
        <v>11</v>
      </c>
      <c r="F435" s="23" t="s">
        <v>12</v>
      </c>
      <c r="G435" s="66" t="s">
        <v>46</v>
      </c>
      <c r="H435" s="66" t="s">
        <v>50</v>
      </c>
      <c r="I435" s="25">
        <v>7133</v>
      </c>
      <c r="K435" s="26" t="str">
        <f t="shared" si="124"/>
        <v>PROYECTO EJECUTIVO PARA PAVIMENTACIÓN DE CAMINO DE ACCESO A LA LOCALIDAD SAUCEDA DE LA LUZ, MPIO. DE SAN FELIPE, GTO. (SEGUNDA ETAPA)</v>
      </c>
      <c r="L435" s="27">
        <v>44873</v>
      </c>
      <c r="M435" s="28" t="s">
        <v>26</v>
      </c>
      <c r="N435" s="26" t="str">
        <f t="shared" si="121"/>
        <v>Capturado</v>
      </c>
      <c r="O435" s="26" t="str">
        <f t="shared" si="121"/>
        <v>Capturado</v>
      </c>
      <c r="P435" s="77"/>
      <c r="Q435" s="2" t="str">
        <f t="shared" si="122"/>
        <v>Imprimir</v>
      </c>
      <c r="R435" s="2"/>
      <c r="S435" s="2"/>
      <c r="T435" s="64"/>
      <c r="V435" s="18" t="s">
        <v>15</v>
      </c>
      <c r="W435" s="18" t="str">
        <f t="shared" si="120"/>
        <v>CAP</v>
      </c>
      <c r="X435" s="18"/>
      <c r="Y435" s="18"/>
      <c r="AA435" s="22"/>
      <c r="AB435" s="29" t="str">
        <f t="shared" si="123"/>
        <v>Cambió</v>
      </c>
      <c r="AC435" s="30" t="s">
        <v>36</v>
      </c>
      <c r="AD435" s="29" t="s">
        <v>33</v>
      </c>
      <c r="AE435" s="29" t="s">
        <v>33</v>
      </c>
      <c r="AF435" s="29" t="s">
        <v>33</v>
      </c>
      <c r="AG435" s="31"/>
      <c r="AH435" s="44" t="s">
        <v>52</v>
      </c>
      <c r="AI435" s="26" t="s">
        <v>49</v>
      </c>
    </row>
    <row r="436" spans="1:35" s="26" customFormat="1" ht="75" customHeight="1" x14ac:dyDescent="0.25">
      <c r="A436" s="67">
        <v>4</v>
      </c>
      <c r="B436" s="82" t="s">
        <v>377</v>
      </c>
      <c r="C436" s="21" t="s">
        <v>82</v>
      </c>
      <c r="D436" s="22">
        <v>200000</v>
      </c>
      <c r="E436" s="23" t="s">
        <v>11</v>
      </c>
      <c r="F436" s="23" t="s">
        <v>12</v>
      </c>
      <c r="G436" s="66" t="s">
        <v>389</v>
      </c>
      <c r="H436" s="66" t="s">
        <v>50</v>
      </c>
      <c r="I436" s="25">
        <v>912</v>
      </c>
      <c r="K436" s="26" t="str">
        <f t="shared" si="124"/>
        <v>PROYECTO EJECUTIVO PARA LA INTERVENCIÓN Y RESTAURACIÓN DE LA ESCUELA PRIMARIA  "VICENTE GUERRERO" EN LA COMUNIDAD DE LA QUEMADA, MUNICIPIO DE SAN FELIPE, GTO.</v>
      </c>
      <c r="L436" s="27">
        <v>44873</v>
      </c>
      <c r="M436" s="28" t="s">
        <v>26</v>
      </c>
      <c r="N436" s="26" t="str">
        <f t="shared" si="121"/>
        <v>Capturado</v>
      </c>
      <c r="O436" s="26" t="str">
        <f t="shared" si="121"/>
        <v>Capturado</v>
      </c>
      <c r="P436" s="18"/>
      <c r="Q436" s="2" t="str">
        <f t="shared" si="122"/>
        <v>Imprimir</v>
      </c>
      <c r="R436" s="2"/>
      <c r="S436" s="2"/>
      <c r="T436" s="64"/>
      <c r="V436" s="18" t="s">
        <v>15</v>
      </c>
      <c r="W436" s="18" t="str">
        <f t="shared" si="120"/>
        <v>CAP</v>
      </c>
      <c r="X436" s="18"/>
      <c r="Y436" s="18"/>
      <c r="AA436" s="22"/>
      <c r="AB436" s="29" t="str">
        <f t="shared" si="123"/>
        <v>Cambió</v>
      </c>
      <c r="AC436" s="30" t="s">
        <v>36</v>
      </c>
      <c r="AD436" s="29" t="s">
        <v>33</v>
      </c>
      <c r="AE436" s="29" t="s">
        <v>33</v>
      </c>
      <c r="AF436" s="29" t="s">
        <v>33</v>
      </c>
      <c r="AG436" s="31"/>
      <c r="AH436" s="44" t="s">
        <v>53</v>
      </c>
      <c r="AI436" s="26" t="s">
        <v>54</v>
      </c>
    </row>
    <row r="437" spans="1:35" s="26" customFormat="1" ht="121.5" customHeight="1" x14ac:dyDescent="0.25">
      <c r="A437" s="67">
        <v>5</v>
      </c>
      <c r="B437" s="82" t="s">
        <v>377</v>
      </c>
      <c r="C437" s="21" t="s">
        <v>83</v>
      </c>
      <c r="D437" s="22">
        <v>100000</v>
      </c>
      <c r="E437" s="23" t="s">
        <v>11</v>
      </c>
      <c r="F437" s="23" t="s">
        <v>12</v>
      </c>
      <c r="G437" s="66" t="s">
        <v>361</v>
      </c>
      <c r="H437" s="66" t="s">
        <v>50</v>
      </c>
      <c r="I437" s="25">
        <v>1214</v>
      </c>
      <c r="K437" s="26" t="str">
        <f t="shared" si="124"/>
        <v>PROYECTO EJECUTIVO PARA LA INTERVENCIÓN Y RESTAURACIÓN DE LA ESCUELA PRIMARIA  "NARCISO MENDOZA" EN LA LOCALIDAD DE JARAL DE BERRIOS, MUNICIPIO DE SAN FELIPE, GTO.</v>
      </c>
      <c r="L437" s="27">
        <v>44873</v>
      </c>
      <c r="M437" s="28" t="s">
        <v>26</v>
      </c>
      <c r="N437" s="26" t="str">
        <f t="shared" si="121"/>
        <v>Capturado</v>
      </c>
      <c r="O437" s="26" t="str">
        <f t="shared" si="121"/>
        <v>Capturado</v>
      </c>
      <c r="P437" s="18"/>
      <c r="Q437" s="2" t="str">
        <f t="shared" si="122"/>
        <v>Imprimir</v>
      </c>
      <c r="R437" s="2"/>
      <c r="S437" s="2"/>
      <c r="T437" s="64"/>
      <c r="V437" s="18" t="s">
        <v>15</v>
      </c>
      <c r="W437" s="18" t="str">
        <f t="shared" si="120"/>
        <v>CAP</v>
      </c>
      <c r="X437" s="18"/>
      <c r="Y437" s="18"/>
      <c r="AA437" s="22"/>
      <c r="AB437" s="29" t="str">
        <f t="shared" si="123"/>
        <v>Cambió</v>
      </c>
      <c r="AC437" s="30" t="s">
        <v>36</v>
      </c>
      <c r="AD437" s="29" t="s">
        <v>33</v>
      </c>
      <c r="AE437" s="29" t="s">
        <v>33</v>
      </c>
      <c r="AF437" s="29" t="s">
        <v>33</v>
      </c>
      <c r="AG437" s="31"/>
      <c r="AH437" s="44" t="s">
        <v>55</v>
      </c>
      <c r="AI437" s="26" t="s">
        <v>56</v>
      </c>
    </row>
    <row r="438" spans="1:35" s="26" customFormat="1" ht="79.5" customHeight="1" x14ac:dyDescent="0.25">
      <c r="A438" s="67">
        <v>6</v>
      </c>
      <c r="B438" s="82" t="s">
        <v>377</v>
      </c>
      <c r="C438" s="21" t="s">
        <v>381</v>
      </c>
      <c r="D438" s="22">
        <v>300000</v>
      </c>
      <c r="E438" s="23" t="s">
        <v>11</v>
      </c>
      <c r="F438" s="23" t="s">
        <v>12</v>
      </c>
      <c r="G438" s="66" t="s">
        <v>390</v>
      </c>
      <c r="H438" s="66" t="s">
        <v>50</v>
      </c>
      <c r="I438" s="25">
        <v>1663</v>
      </c>
      <c r="K438" s="26" t="str">
        <f t="shared" si="124"/>
        <v>PROYECTO EJECUTIVO PARA LA RED DE DISTRIBUCIÓN DE AGUA POTABLE EN LA COMUNIDAD EL SAÚZ (EL SAUCITO), EN EL MUNICIPIO DE SAN FELIPE, GTO.</v>
      </c>
      <c r="L438" s="27">
        <v>44873</v>
      </c>
      <c r="M438" s="28" t="s">
        <v>26</v>
      </c>
      <c r="N438" s="26" t="str">
        <f t="shared" si="121"/>
        <v>Capturado</v>
      </c>
      <c r="P438" s="18"/>
      <c r="Q438" s="2" t="str">
        <f t="shared" si="122"/>
        <v>Imprimir</v>
      </c>
      <c r="R438" s="2"/>
      <c r="S438" s="2"/>
      <c r="T438" s="64"/>
      <c r="V438" s="18" t="s">
        <v>15</v>
      </c>
      <c r="W438" s="18" t="str">
        <f t="shared" si="120"/>
        <v>CAP</v>
      </c>
      <c r="X438" s="18"/>
      <c r="Y438" s="18"/>
      <c r="AA438" s="22"/>
      <c r="AB438" s="29" t="str">
        <f t="shared" si="123"/>
        <v>Cambió</v>
      </c>
      <c r="AC438" s="30" t="str">
        <f t="shared" ref="AC438:AC451" si="125">IF(E438&gt;0,IF(E438=AB438,"Sin Cambio","Cambió"),"")</f>
        <v>Cambió</v>
      </c>
      <c r="AD438" s="29" t="s">
        <v>33</v>
      </c>
      <c r="AE438" s="29" t="s">
        <v>33</v>
      </c>
      <c r="AF438" s="29" t="s">
        <v>33</v>
      </c>
      <c r="AG438" s="31"/>
      <c r="AH438" s="44" t="s">
        <v>57</v>
      </c>
      <c r="AI438" s="26" t="s">
        <v>58</v>
      </c>
    </row>
    <row r="439" spans="1:35" s="26" customFormat="1" ht="100.5" customHeight="1" x14ac:dyDescent="0.25">
      <c r="A439" s="67">
        <v>7</v>
      </c>
      <c r="B439" s="82" t="s">
        <v>377</v>
      </c>
      <c r="C439" s="21" t="s">
        <v>382</v>
      </c>
      <c r="D439" s="22">
        <v>400000</v>
      </c>
      <c r="E439" s="23" t="s">
        <v>11</v>
      </c>
      <c r="F439" s="23" t="s">
        <v>12</v>
      </c>
      <c r="G439" s="66" t="s">
        <v>221</v>
      </c>
      <c r="H439" s="66" t="s">
        <v>50</v>
      </c>
      <c r="I439" s="25">
        <v>32831</v>
      </c>
      <c r="K439" s="26" t="str">
        <f t="shared" si="124"/>
        <v>PROYECTO EJECUTIVO PARA LA CONSTRUCCIÓN DEL SISTEMA DE TRATAMIENTO DE AGUAS RESIDUALES EN LA LOCALIDAD EL CARRETÓN MUNICIPIO DE SAN FELIPE, GTO.</v>
      </c>
      <c r="L439" s="27">
        <v>44873</v>
      </c>
      <c r="M439" s="28" t="s">
        <v>26</v>
      </c>
      <c r="N439" s="26" t="str">
        <f t="shared" ref="N439:O443" si="126">IF(G439&lt;&gt;0,"Capturado","")</f>
        <v>Capturado</v>
      </c>
      <c r="P439" s="18"/>
      <c r="Q439" s="2" t="str">
        <f t="shared" si="122"/>
        <v>Imprimir</v>
      </c>
      <c r="R439" s="2"/>
      <c r="S439" s="2"/>
      <c r="T439" s="64"/>
      <c r="V439" s="18" t="s">
        <v>15</v>
      </c>
      <c r="W439" s="18" t="str">
        <f t="shared" si="120"/>
        <v>CAP</v>
      </c>
      <c r="X439" s="18"/>
      <c r="Y439" s="18"/>
      <c r="AA439" s="22"/>
      <c r="AB439" s="29" t="str">
        <f t="shared" si="123"/>
        <v>Cambió</v>
      </c>
      <c r="AC439" s="30" t="str">
        <f t="shared" si="125"/>
        <v>Cambió</v>
      </c>
      <c r="AD439" s="29" t="s">
        <v>33</v>
      </c>
      <c r="AE439" s="29" t="s">
        <v>33</v>
      </c>
      <c r="AF439" s="29" t="s">
        <v>33</v>
      </c>
      <c r="AG439" s="31"/>
      <c r="AH439" s="44" t="s">
        <v>59</v>
      </c>
      <c r="AI439" s="26" t="s">
        <v>60</v>
      </c>
    </row>
    <row r="440" spans="1:35" s="26" customFormat="1" ht="111.75" customHeight="1" x14ac:dyDescent="0.25">
      <c r="A440" s="67">
        <v>8</v>
      </c>
      <c r="B440" s="82" t="s">
        <v>377</v>
      </c>
      <c r="C440" s="21" t="s">
        <v>383</v>
      </c>
      <c r="D440" s="22">
        <v>150000</v>
      </c>
      <c r="E440" s="23" t="s">
        <v>11</v>
      </c>
      <c r="F440" s="23" t="s">
        <v>12</v>
      </c>
      <c r="G440" s="66" t="s">
        <v>391</v>
      </c>
      <c r="H440" s="66" t="s">
        <v>50</v>
      </c>
      <c r="I440" s="25">
        <v>32831</v>
      </c>
      <c r="K440" s="26" t="str">
        <f t="shared" si="124"/>
        <v>DICTAMEN GEOFÍSICO – GEOHIDROLÓGICO PARA LA PERFIRACIÓN DE POZO PROFUNDO PARA LA EXTRACCIÓN DE AGUA POTABLE EN LA LOCALIDAD SAN JOSÉ DEL TANQUE, SAN FELIPE, GTO.</v>
      </c>
      <c r="L440" s="27">
        <v>44896</v>
      </c>
      <c r="M440" s="28" t="s">
        <v>26</v>
      </c>
      <c r="N440" s="26" t="str">
        <f t="shared" si="126"/>
        <v>Capturado</v>
      </c>
      <c r="P440" s="18"/>
      <c r="Q440" s="2" t="str">
        <f t="shared" si="122"/>
        <v>Imprimir</v>
      </c>
      <c r="R440" s="2"/>
      <c r="S440" s="2"/>
      <c r="T440" s="64"/>
      <c r="V440" s="18" t="s">
        <v>15</v>
      </c>
      <c r="W440" s="18" t="str">
        <f t="shared" si="120"/>
        <v>CAP</v>
      </c>
      <c r="X440" s="18"/>
      <c r="Y440" s="18"/>
      <c r="AA440" s="22"/>
      <c r="AB440" s="29" t="str">
        <f t="shared" si="123"/>
        <v>Cambió</v>
      </c>
      <c r="AC440" s="30" t="str">
        <f t="shared" si="125"/>
        <v>Cambió</v>
      </c>
      <c r="AD440" s="29" t="s">
        <v>33</v>
      </c>
      <c r="AE440" s="29" t="s">
        <v>33</v>
      </c>
      <c r="AF440" s="29" t="s">
        <v>33</v>
      </c>
      <c r="AG440" s="31"/>
      <c r="AH440" s="44"/>
    </row>
    <row r="441" spans="1:35" s="26" customFormat="1" ht="93" customHeight="1" x14ac:dyDescent="0.25">
      <c r="A441" s="67">
        <v>9</v>
      </c>
      <c r="B441" s="82" t="s">
        <v>377</v>
      </c>
      <c r="C441" s="21" t="s">
        <v>384</v>
      </c>
      <c r="D441" s="22">
        <v>400000</v>
      </c>
      <c r="E441" s="23" t="s">
        <v>11</v>
      </c>
      <c r="F441" s="23" t="s">
        <v>12</v>
      </c>
      <c r="G441" s="66" t="s">
        <v>373</v>
      </c>
      <c r="H441" s="66" t="s">
        <v>50</v>
      </c>
      <c r="I441" s="25">
        <v>666</v>
      </c>
      <c r="K441" s="26" t="str">
        <f t="shared" si="124"/>
        <v>PROYECTO EJECUTIVO PARA LA REHABILITACIÓN DEL SISTEMA DE AGUA POTABLE EN LA LOCALIDAD LA LAGUNITA, MUNICIPIO DE SAN FELIPE, GTO.</v>
      </c>
      <c r="L441" s="27">
        <v>44896</v>
      </c>
      <c r="M441" s="28" t="s">
        <v>26</v>
      </c>
      <c r="N441" s="26" t="str">
        <f t="shared" si="126"/>
        <v>Capturado</v>
      </c>
      <c r="O441" s="26" t="str">
        <f t="shared" si="126"/>
        <v>Capturado</v>
      </c>
      <c r="P441" s="18"/>
      <c r="Q441" s="2" t="str">
        <f t="shared" si="122"/>
        <v>Imprimir</v>
      </c>
      <c r="R441" s="2"/>
      <c r="S441" s="2"/>
      <c r="T441" s="64"/>
      <c r="V441" s="18" t="s">
        <v>15</v>
      </c>
      <c r="W441" s="18" t="str">
        <f t="shared" si="120"/>
        <v>CAP</v>
      </c>
      <c r="X441" s="18"/>
      <c r="Y441" s="18"/>
      <c r="AA441" s="22"/>
      <c r="AB441" s="29" t="str">
        <f t="shared" si="123"/>
        <v>Cambió</v>
      </c>
      <c r="AC441" s="30" t="str">
        <f t="shared" si="125"/>
        <v>Cambió</v>
      </c>
      <c r="AD441" s="29" t="s">
        <v>33</v>
      </c>
      <c r="AE441" s="29" t="s">
        <v>33</v>
      </c>
      <c r="AF441" s="29" t="s">
        <v>33</v>
      </c>
      <c r="AG441" s="31"/>
      <c r="AH441" s="44"/>
    </row>
    <row r="442" spans="1:35" s="26" customFormat="1" ht="123.75" customHeight="1" x14ac:dyDescent="0.25">
      <c r="A442" s="67">
        <v>10</v>
      </c>
      <c r="B442" s="82" t="s">
        <v>377</v>
      </c>
      <c r="C442" s="21" t="s">
        <v>385</v>
      </c>
      <c r="D442" s="22">
        <v>148501.09000000008</v>
      </c>
      <c r="E442" s="23" t="s">
        <v>11</v>
      </c>
      <c r="F442" s="23" t="s">
        <v>12</v>
      </c>
      <c r="G442" s="66" t="s">
        <v>392</v>
      </c>
      <c r="H442" s="66" t="s">
        <v>50</v>
      </c>
      <c r="I442" s="25">
        <v>490</v>
      </c>
      <c r="K442" s="26" t="str">
        <f t="shared" si="124"/>
        <v>PROYECTO EJECUTIVO PARA LA REHABILITACIÓN Y/O AMPLIACIÓN DEL SISTEMA DE AGUA POTABLE EN LAS LOCALIDADES TEPOZÁN DE SANTA RITA, EL FRESNO Y EL LINDERO, MPIO. SAN FELIPE, GTO. (SEGUNDA ETAPA)</v>
      </c>
      <c r="L442" s="27"/>
      <c r="M442" s="28"/>
      <c r="N442" s="26" t="str">
        <f t="shared" si="126"/>
        <v>Capturado</v>
      </c>
      <c r="P442" s="18"/>
      <c r="Q442" s="2" t="str">
        <f t="shared" si="122"/>
        <v>Imprimir</v>
      </c>
      <c r="R442" s="2"/>
      <c r="S442" s="2"/>
      <c r="T442" s="64"/>
      <c r="V442" s="18" t="s">
        <v>15</v>
      </c>
      <c r="W442" s="18" t="str">
        <f t="shared" ref="W442:W445" si="127">IF(L442="","","CAP")</f>
        <v/>
      </c>
      <c r="X442" s="18"/>
      <c r="Y442" s="18"/>
      <c r="AA442" s="22"/>
      <c r="AB442" s="29" t="str">
        <f t="shared" ref="AB442:AB445" si="128">IF(D442&gt;0,IF(D442=AA442,"Sin Cambio","Cambió"),"")</f>
        <v>Cambió</v>
      </c>
      <c r="AC442" s="30" t="str">
        <f t="shared" ref="AC442:AC445" si="129">IF(E442&gt;0,IF(E442=AB442,"Sin Cambio","Cambió"),"")</f>
        <v>Cambió</v>
      </c>
      <c r="AD442" s="29" t="s">
        <v>33</v>
      </c>
      <c r="AE442" s="29" t="s">
        <v>33</v>
      </c>
      <c r="AF442" s="29" t="s">
        <v>33</v>
      </c>
      <c r="AG442" s="31"/>
      <c r="AH442" s="44"/>
    </row>
    <row r="443" spans="1:35" s="26" customFormat="1" ht="60" x14ac:dyDescent="0.25">
      <c r="A443" s="67">
        <v>11</v>
      </c>
      <c r="B443" s="82" t="s">
        <v>377</v>
      </c>
      <c r="C443" s="21" t="s">
        <v>386</v>
      </c>
      <c r="D443" s="22">
        <v>675000</v>
      </c>
      <c r="E443" s="23" t="s">
        <v>11</v>
      </c>
      <c r="F443" s="23" t="s">
        <v>12</v>
      </c>
      <c r="G443" s="66" t="s">
        <v>393</v>
      </c>
      <c r="H443" s="66" t="s">
        <v>50</v>
      </c>
      <c r="I443" s="25">
        <v>1632</v>
      </c>
      <c r="L443" s="27"/>
      <c r="M443" s="28"/>
      <c r="N443" s="26" t="str">
        <f t="shared" si="126"/>
        <v>Capturado</v>
      </c>
      <c r="P443" s="18"/>
      <c r="Q443" s="2" t="str">
        <f t="shared" si="122"/>
        <v>Imprimir</v>
      </c>
      <c r="R443" s="2"/>
      <c r="S443" s="2"/>
      <c r="T443" s="64"/>
      <c r="V443" s="18" t="s">
        <v>15</v>
      </c>
      <c r="W443" s="18" t="str">
        <f t="shared" si="127"/>
        <v/>
      </c>
      <c r="X443" s="18"/>
      <c r="Y443" s="18"/>
      <c r="AA443" s="22"/>
      <c r="AB443" s="29" t="str">
        <f t="shared" si="128"/>
        <v>Cambió</v>
      </c>
      <c r="AC443" s="30" t="str">
        <f t="shared" si="129"/>
        <v>Cambió</v>
      </c>
      <c r="AD443" s="29" t="s">
        <v>33</v>
      </c>
      <c r="AE443" s="29" t="s">
        <v>33</v>
      </c>
      <c r="AF443" s="29" t="s">
        <v>33</v>
      </c>
      <c r="AG443" s="31"/>
      <c r="AH443" s="44"/>
    </row>
    <row r="444" spans="1:35" s="26" customFormat="1" ht="57.75" customHeight="1" x14ac:dyDescent="0.25">
      <c r="A444" s="82">
        <v>12</v>
      </c>
      <c r="B444" s="82" t="s">
        <v>377</v>
      </c>
      <c r="C444" s="21" t="s">
        <v>387</v>
      </c>
      <c r="D444" s="22">
        <v>133780.54999999999</v>
      </c>
      <c r="E444" s="23" t="s">
        <v>11</v>
      </c>
      <c r="F444" s="23" t="s">
        <v>12</v>
      </c>
      <c r="G444" s="81" t="s">
        <v>371</v>
      </c>
      <c r="H444" s="81" t="s">
        <v>50</v>
      </c>
      <c r="I444" s="25">
        <v>1632</v>
      </c>
      <c r="L444" s="27"/>
      <c r="M444" s="28"/>
      <c r="P444" s="18"/>
      <c r="Q444" s="2" t="str">
        <f t="shared" si="122"/>
        <v>Imprimir</v>
      </c>
      <c r="R444" s="2"/>
      <c r="S444" s="2"/>
      <c r="T444" s="64"/>
      <c r="V444" s="18" t="s">
        <v>15</v>
      </c>
      <c r="W444" s="18" t="str">
        <f t="shared" si="127"/>
        <v/>
      </c>
      <c r="X444" s="18"/>
      <c r="Y444" s="18"/>
      <c r="AA444" s="22"/>
      <c r="AB444" s="29" t="str">
        <f t="shared" si="128"/>
        <v>Cambió</v>
      </c>
      <c r="AC444" s="30" t="str">
        <f t="shared" si="129"/>
        <v>Cambió</v>
      </c>
      <c r="AD444" s="29" t="s">
        <v>33</v>
      </c>
      <c r="AE444" s="29" t="s">
        <v>33</v>
      </c>
      <c r="AF444" s="29" t="s">
        <v>33</v>
      </c>
      <c r="AG444" s="31"/>
      <c r="AH444" s="44"/>
    </row>
    <row r="445" spans="1:35" s="26" customFormat="1" hidden="1" x14ac:dyDescent="0.25">
      <c r="A445" s="67"/>
      <c r="B445" s="67"/>
      <c r="C445" s="21"/>
      <c r="D445" s="22"/>
      <c r="E445" s="23"/>
      <c r="F445" s="23"/>
      <c r="G445" s="66"/>
      <c r="H445" s="66"/>
      <c r="I445" s="25"/>
      <c r="L445" s="27"/>
      <c r="M445" s="28"/>
      <c r="P445" s="18"/>
      <c r="Q445" s="2" t="str">
        <f t="shared" si="122"/>
        <v/>
      </c>
      <c r="R445" s="2"/>
      <c r="S445" s="2"/>
      <c r="T445" s="64"/>
      <c r="V445" s="18" t="s">
        <v>15</v>
      </c>
      <c r="W445" s="18" t="str">
        <f t="shared" si="127"/>
        <v/>
      </c>
      <c r="X445" s="18"/>
      <c r="Y445" s="18"/>
      <c r="AA445" s="22"/>
      <c r="AB445" s="29" t="str">
        <f t="shared" si="128"/>
        <v/>
      </c>
      <c r="AC445" s="30" t="str">
        <f t="shared" si="129"/>
        <v/>
      </c>
      <c r="AD445" s="29" t="s">
        <v>33</v>
      </c>
      <c r="AE445" s="29" t="s">
        <v>33</v>
      </c>
      <c r="AF445" s="29" t="s">
        <v>33</v>
      </c>
      <c r="AG445" s="31"/>
      <c r="AH445" s="44"/>
    </row>
    <row r="446" spans="1:35" s="26" customFormat="1" hidden="1" x14ac:dyDescent="0.25">
      <c r="A446" s="67"/>
      <c r="B446" s="67"/>
      <c r="C446" s="21"/>
      <c r="D446" s="22"/>
      <c r="E446" s="23"/>
      <c r="F446" s="23"/>
      <c r="G446" s="66"/>
      <c r="H446" s="66"/>
      <c r="I446" s="25"/>
      <c r="L446" s="27"/>
      <c r="M446" s="28"/>
      <c r="P446" s="18"/>
      <c r="Q446" s="2" t="str">
        <f t="shared" si="122"/>
        <v/>
      </c>
      <c r="R446" s="2"/>
      <c r="S446" s="2"/>
      <c r="T446" s="64"/>
      <c r="V446" s="18" t="s">
        <v>15</v>
      </c>
      <c r="W446" s="18" t="str">
        <f t="shared" si="120"/>
        <v/>
      </c>
      <c r="X446" s="18"/>
      <c r="Y446" s="18"/>
      <c r="AA446" s="22"/>
      <c r="AB446" s="29" t="str">
        <f t="shared" si="123"/>
        <v/>
      </c>
      <c r="AC446" s="30" t="str">
        <f t="shared" si="125"/>
        <v/>
      </c>
      <c r="AD446" s="29" t="s">
        <v>33</v>
      </c>
      <c r="AE446" s="29" t="s">
        <v>33</v>
      </c>
      <c r="AF446" s="29" t="s">
        <v>33</v>
      </c>
      <c r="AG446" s="31"/>
      <c r="AH446" s="44"/>
    </row>
    <row r="447" spans="1:35" s="26" customFormat="1" hidden="1" x14ac:dyDescent="0.25">
      <c r="A447" s="20"/>
      <c r="B447" s="20"/>
      <c r="C447" s="21"/>
      <c r="D447" s="22"/>
      <c r="E447" s="23" t="str">
        <f t="shared" ref="E447:E449" si="130">IF(D447&gt;0,"GUANAJUATO","")</f>
        <v/>
      </c>
      <c r="F447" s="23" t="str">
        <f t="shared" ref="F447:F449" si="131">IF(D447&gt;0,"SAN FELIPE","")</f>
        <v/>
      </c>
      <c r="G447" s="24"/>
      <c r="H447" s="24"/>
      <c r="I447" s="25"/>
      <c r="L447" s="27"/>
      <c r="M447" s="28"/>
      <c r="P447" s="18"/>
      <c r="Q447" s="2" t="str">
        <f t="shared" si="122"/>
        <v/>
      </c>
      <c r="R447" s="2"/>
      <c r="T447" s="64"/>
      <c r="V447" s="18" t="s">
        <v>15</v>
      </c>
      <c r="W447" s="18" t="str">
        <f t="shared" si="120"/>
        <v/>
      </c>
      <c r="X447" s="18"/>
      <c r="Y447" s="18"/>
      <c r="AA447" s="22"/>
      <c r="AB447" s="29" t="str">
        <f t="shared" si="123"/>
        <v/>
      </c>
      <c r="AC447" s="30" t="str">
        <f t="shared" si="125"/>
        <v>Sin Cambio</v>
      </c>
      <c r="AD447" s="29"/>
      <c r="AE447" s="29"/>
      <c r="AF447" s="29"/>
      <c r="AG447" s="31"/>
      <c r="AH447" s="44"/>
    </row>
    <row r="448" spans="1:35" s="26" customFormat="1" hidden="1" x14ac:dyDescent="0.25">
      <c r="A448" s="49"/>
      <c r="B448" s="49"/>
      <c r="C448" s="21"/>
      <c r="D448" s="22"/>
      <c r="E448" s="23"/>
      <c r="F448" s="23"/>
      <c r="G448" s="48"/>
      <c r="H448" s="48"/>
      <c r="I448" s="25"/>
      <c r="L448" s="27"/>
      <c r="M448" s="28"/>
      <c r="P448" s="18"/>
      <c r="Q448" s="2" t="str">
        <f t="shared" si="122"/>
        <v/>
      </c>
      <c r="R448" s="2"/>
      <c r="T448" s="64"/>
      <c r="V448" s="18"/>
      <c r="W448" s="18"/>
      <c r="X448" s="18"/>
      <c r="Y448" s="18"/>
      <c r="AA448" s="22"/>
      <c r="AB448" s="29"/>
      <c r="AC448" s="30"/>
      <c r="AD448" s="29"/>
      <c r="AE448" s="29"/>
      <c r="AF448" s="29"/>
      <c r="AG448" s="31"/>
      <c r="AH448" s="44"/>
    </row>
    <row r="449" spans="1:34" s="26" customFormat="1" hidden="1" x14ac:dyDescent="0.25">
      <c r="A449" s="20"/>
      <c r="B449" s="20"/>
      <c r="C449" s="21"/>
      <c r="D449" s="22"/>
      <c r="E449" s="23" t="str">
        <f t="shared" si="130"/>
        <v/>
      </c>
      <c r="F449" s="23" t="str">
        <f t="shared" si="131"/>
        <v/>
      </c>
      <c r="G449" s="24"/>
      <c r="H449" s="24"/>
      <c r="I449" s="25"/>
      <c r="L449" s="27"/>
      <c r="M449" s="28"/>
      <c r="P449" s="18"/>
      <c r="Q449" s="2" t="str">
        <f t="shared" si="122"/>
        <v/>
      </c>
      <c r="R449" s="2"/>
      <c r="T449" s="64"/>
      <c r="V449" s="18" t="s">
        <v>15</v>
      </c>
      <c r="W449" s="18" t="str">
        <f t="shared" si="120"/>
        <v/>
      </c>
      <c r="X449" s="18"/>
      <c r="Y449" s="18"/>
      <c r="AA449" s="22"/>
      <c r="AB449" s="29" t="str">
        <f t="shared" si="123"/>
        <v/>
      </c>
      <c r="AC449" s="30" t="str">
        <f t="shared" si="125"/>
        <v>Sin Cambio</v>
      </c>
      <c r="AD449" s="29"/>
      <c r="AE449" s="29"/>
      <c r="AF449" s="29"/>
      <c r="AG449" s="31"/>
      <c r="AH449" s="44"/>
    </row>
    <row r="450" spans="1:34" s="26" customFormat="1" x14ac:dyDescent="0.25">
      <c r="C450" s="39" t="s">
        <v>27</v>
      </c>
      <c r="D450" s="22">
        <f>SUBTOTAL(9,D433:D449)</f>
        <v>3871686.54</v>
      </c>
      <c r="G450" s="41"/>
      <c r="H450" s="18"/>
      <c r="I450" s="25">
        <f>SUBTOTAL(9,I433:I449)</f>
        <v>84093</v>
      </c>
      <c r="L450" s="28" t="s">
        <v>22</v>
      </c>
      <c r="M450" s="28" t="s">
        <v>22</v>
      </c>
      <c r="P450" s="18"/>
      <c r="Q450" s="2" t="str">
        <f t="shared" si="122"/>
        <v>Imprimir</v>
      </c>
      <c r="R450" s="2"/>
      <c r="S450" s="2"/>
      <c r="T450" s="64"/>
      <c r="V450" s="18"/>
      <c r="W450" s="18" t="str">
        <f t="shared" si="120"/>
        <v>CAP</v>
      </c>
      <c r="X450" s="18"/>
      <c r="Y450" s="18"/>
      <c r="AA450" s="22">
        <f>SUBTOTAL(9,AA433:AA449)</f>
        <v>0</v>
      </c>
      <c r="AB450" s="29" t="str">
        <f t="shared" si="123"/>
        <v>Cambió</v>
      </c>
      <c r="AC450" s="30" t="str">
        <f t="shared" si="125"/>
        <v/>
      </c>
      <c r="AD450" s="29" t="str">
        <f t="shared" ref="AD450:AF451" si="132">IF(F450&gt;0,IF(F450=AC450,"Sin Cambio","Cambió"),"")</f>
        <v/>
      </c>
      <c r="AE450" s="29" t="str">
        <f t="shared" si="132"/>
        <v/>
      </c>
      <c r="AF450" s="29" t="str">
        <f t="shared" si="132"/>
        <v/>
      </c>
      <c r="AG450" s="31"/>
      <c r="AH450" s="31"/>
    </row>
    <row r="451" spans="1:34" s="26" customFormat="1" x14ac:dyDescent="0.25">
      <c r="C451" s="39" t="s">
        <v>16</v>
      </c>
      <c r="D451" s="22">
        <f>D450+D428</f>
        <v>129056218.00000001</v>
      </c>
      <c r="G451" s="41"/>
      <c r="H451" s="18"/>
      <c r="I451" s="25">
        <f>I450+I428</f>
        <v>115317</v>
      </c>
      <c r="L451" s="28" t="s">
        <v>22</v>
      </c>
      <c r="M451" s="28" t="s">
        <v>22</v>
      </c>
      <c r="P451" s="18"/>
      <c r="Q451" s="2" t="str">
        <f t="shared" si="122"/>
        <v>Imprimir</v>
      </c>
      <c r="R451" s="2"/>
      <c r="S451" s="2"/>
      <c r="T451" s="2"/>
      <c r="V451" s="18"/>
      <c r="W451" s="18" t="str">
        <f t="shared" si="120"/>
        <v>CAP</v>
      </c>
      <c r="X451" s="18"/>
      <c r="Y451" s="18"/>
      <c r="AA451" s="22">
        <f>AA450+AA428</f>
        <v>3336915.0799999996</v>
      </c>
      <c r="AB451" s="29" t="str">
        <f t="shared" si="123"/>
        <v>Cambió</v>
      </c>
      <c r="AC451" s="30" t="str">
        <f t="shared" si="125"/>
        <v/>
      </c>
      <c r="AD451" s="29" t="str">
        <f t="shared" si="132"/>
        <v/>
      </c>
      <c r="AE451" s="29" t="str">
        <f t="shared" si="132"/>
        <v/>
      </c>
      <c r="AF451" s="29" t="str">
        <f t="shared" si="132"/>
        <v/>
      </c>
      <c r="AG451" s="31"/>
      <c r="AH451" s="31"/>
    </row>
    <row r="452" spans="1:34" s="26" customFormat="1" x14ac:dyDescent="0.25">
      <c r="C452" s="39"/>
      <c r="D452" s="40"/>
      <c r="G452" s="41"/>
      <c r="H452" s="18"/>
      <c r="I452" s="18"/>
      <c r="M452" s="39"/>
      <c r="P452" s="18"/>
      <c r="V452" s="18"/>
      <c r="AC452" s="39"/>
    </row>
    <row r="453" spans="1:34" x14ac:dyDescent="0.25">
      <c r="V453" s="18"/>
    </row>
    <row r="454" spans="1:34" x14ac:dyDescent="0.25">
      <c r="V454" s="18"/>
    </row>
  </sheetData>
  <autoFilter ref="A10:AJ451">
    <filterColumn colId="16">
      <customFilters>
        <customFilter operator="notEqual" val=" "/>
      </customFilters>
    </filterColumn>
  </autoFilter>
  <mergeCells count="22">
    <mergeCell ref="AE9:AE10"/>
    <mergeCell ref="AF9:AF10"/>
    <mergeCell ref="A11:I11"/>
    <mergeCell ref="A432:I432"/>
    <mergeCell ref="A9:A10"/>
    <mergeCell ref="B9:B10"/>
    <mergeCell ref="AA9:AA10"/>
    <mergeCell ref="AB9:AB10"/>
    <mergeCell ref="AC9:AC10"/>
    <mergeCell ref="AD9:AD10"/>
    <mergeCell ref="L9:L10"/>
    <mergeCell ref="M9:M10"/>
    <mergeCell ref="C3:I3"/>
    <mergeCell ref="C4:I4"/>
    <mergeCell ref="E9:G9"/>
    <mergeCell ref="C9:C10"/>
    <mergeCell ref="D9:D10"/>
    <mergeCell ref="H9:H10"/>
    <mergeCell ref="I9:I10"/>
    <mergeCell ref="C5:I5"/>
    <mergeCell ref="E7:G7"/>
    <mergeCell ref="H7:I7"/>
  </mergeCells>
  <printOptions horizontalCentered="1"/>
  <pageMargins left="0.35433070866141736" right="0.31496062992125984" top="0.43307086614173229" bottom="0.51181102362204722" header="0.19685039370078741" footer="0.19685039370078741"/>
  <pageSetup paperSize="119"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7"/>
  <sheetViews>
    <sheetView workbookViewId="0">
      <pane xSplit="4" ySplit="5" topLeftCell="E6" activePane="bottomRight" state="frozen"/>
      <selection pane="topRight" activeCell="E1" sqref="E1"/>
      <selection pane="bottomLeft" activeCell="A6" sqref="A6"/>
      <selection pane="bottomRight" activeCell="C2" sqref="C2:C3"/>
    </sheetView>
  </sheetViews>
  <sheetFormatPr baseColWidth="10" defaultRowHeight="15" x14ac:dyDescent="0.25"/>
  <cols>
    <col min="1" max="1" width="11.42578125" style="60"/>
    <col min="2" max="2" width="38.28515625" style="60" customWidth="1"/>
    <col min="3" max="4" width="11.42578125" style="60"/>
    <col min="5" max="5" width="11.42578125" style="61"/>
    <col min="6" max="14" width="11.42578125" style="55"/>
    <col min="15" max="16384" width="11.42578125" style="60"/>
  </cols>
  <sheetData>
    <row r="1" spans="1:5" x14ac:dyDescent="0.25">
      <c r="E1" s="62">
        <f>COUNTIF(E5:E350,0)</f>
        <v>210</v>
      </c>
    </row>
    <row r="2" spans="1:5" x14ac:dyDescent="0.25">
      <c r="C2" s="55">
        <f>C3+Hoja2!C3</f>
        <v>122753966.82000004</v>
      </c>
    </row>
    <row r="3" spans="1:5" x14ac:dyDescent="0.25">
      <c r="C3" s="55">
        <f>SUBTOTAL(9,C5:C239)</f>
        <v>119029180.70000003</v>
      </c>
      <c r="E3" s="62">
        <f>COUNT(E5:E350)</f>
        <v>232</v>
      </c>
    </row>
    <row r="5" spans="1:5" ht="38.25" x14ac:dyDescent="0.25">
      <c r="A5" s="50" t="s">
        <v>224</v>
      </c>
      <c r="B5" s="51" t="s">
        <v>225</v>
      </c>
      <c r="C5" s="52" t="s">
        <v>226</v>
      </c>
    </row>
    <row r="6" spans="1:5" ht="51" x14ac:dyDescent="0.25">
      <c r="A6" s="53">
        <v>1</v>
      </c>
      <c r="B6" s="54" t="s">
        <v>74</v>
      </c>
      <c r="C6" s="55">
        <v>483786.12000000005</v>
      </c>
      <c r="E6" s="62">
        <f>COUNTIF(Hoja1!$C$9:$C$452,Hoja3!B6)</f>
        <v>0</v>
      </c>
    </row>
    <row r="7" spans="1:5" ht="38.25" x14ac:dyDescent="0.25">
      <c r="A7" s="53">
        <v>3</v>
      </c>
      <c r="B7" s="54" t="s">
        <v>75</v>
      </c>
      <c r="C7" s="55">
        <v>200000</v>
      </c>
      <c r="E7" s="62">
        <f>COUNTIF(Hoja1!$C$9:$C$452,Hoja3!B7)</f>
        <v>0</v>
      </c>
    </row>
    <row r="8" spans="1:5" ht="38.25" x14ac:dyDescent="0.25">
      <c r="A8" s="53">
        <v>4</v>
      </c>
      <c r="B8" s="54" t="s">
        <v>76</v>
      </c>
      <c r="C8" s="55">
        <v>300000</v>
      </c>
      <c r="E8" s="62">
        <f>COUNTIF(Hoja1!$C$9:$C$452,Hoja3!B8)</f>
        <v>0</v>
      </c>
    </row>
    <row r="9" spans="1:5" ht="51" x14ac:dyDescent="0.25">
      <c r="A9" s="53">
        <v>5</v>
      </c>
      <c r="B9" s="54" t="s">
        <v>77</v>
      </c>
      <c r="C9" s="55">
        <v>100000</v>
      </c>
      <c r="E9" s="62">
        <f>COUNTIF(Hoja1!$C$9:$C$452,Hoja3!B9)</f>
        <v>0</v>
      </c>
    </row>
    <row r="10" spans="1:5" ht="76.5" x14ac:dyDescent="0.25">
      <c r="A10" s="53">
        <v>6</v>
      </c>
      <c r="B10" s="54" t="s">
        <v>78</v>
      </c>
      <c r="C10" s="55">
        <v>400000</v>
      </c>
      <c r="E10" s="62">
        <v>1</v>
      </c>
    </row>
    <row r="11" spans="1:5" ht="25.5" x14ac:dyDescent="0.25">
      <c r="A11" s="53">
        <v>7</v>
      </c>
      <c r="B11" s="54" t="s">
        <v>79</v>
      </c>
      <c r="C11" s="55">
        <v>450000</v>
      </c>
      <c r="E11" s="62">
        <f>COUNTIF(Hoja1!$C$9:$C$452,Hoja3!B11)</f>
        <v>0</v>
      </c>
    </row>
    <row r="12" spans="1:5" ht="38.25" x14ac:dyDescent="0.25">
      <c r="A12" s="53">
        <v>8</v>
      </c>
      <c r="B12" s="54" t="s">
        <v>80</v>
      </c>
      <c r="C12" s="55">
        <v>500000</v>
      </c>
      <c r="E12" s="62">
        <f>COUNTIF(Hoja1!$C$9:$C$452,Hoja3!B12)</f>
        <v>0</v>
      </c>
    </row>
    <row r="13" spans="1:5" ht="38.25" x14ac:dyDescent="0.25">
      <c r="A13" s="53">
        <v>9</v>
      </c>
      <c r="B13" s="54" t="s">
        <v>81</v>
      </c>
      <c r="C13" s="55">
        <v>300000</v>
      </c>
      <c r="E13" s="62">
        <f>COUNTIF(Hoja1!$C$9:$C$452,Hoja3!B13)</f>
        <v>0</v>
      </c>
    </row>
    <row r="14" spans="1:5" ht="51" x14ac:dyDescent="0.25">
      <c r="A14" s="53">
        <v>10</v>
      </c>
      <c r="B14" s="54" t="s">
        <v>82</v>
      </c>
      <c r="C14" s="55">
        <v>25500</v>
      </c>
      <c r="E14" s="62">
        <f>COUNTIF(Hoja1!$C$9:$C$452,Hoja3!B14)</f>
        <v>1</v>
      </c>
    </row>
    <row r="15" spans="1:5" ht="51" x14ac:dyDescent="0.25">
      <c r="A15" s="53">
        <v>11</v>
      </c>
      <c r="B15" s="54" t="s">
        <v>83</v>
      </c>
      <c r="C15" s="55">
        <v>25500</v>
      </c>
      <c r="E15" s="62">
        <f>COUNTIF(Hoja1!$C$9:$C$452,Hoja3!B15)</f>
        <v>1</v>
      </c>
    </row>
    <row r="16" spans="1:5" ht="51" x14ac:dyDescent="0.25">
      <c r="A16" s="53">
        <v>12</v>
      </c>
      <c r="B16" s="54" t="s">
        <v>84</v>
      </c>
      <c r="C16" s="55">
        <v>80000</v>
      </c>
      <c r="E16" s="62">
        <f>COUNTIF(Hoja1!$C$9:$C$452,Hoja3!B16)</f>
        <v>0</v>
      </c>
    </row>
    <row r="17" spans="1:5" ht="38.25" x14ac:dyDescent="0.25">
      <c r="A17" s="53">
        <v>13</v>
      </c>
      <c r="B17" s="54" t="s">
        <v>85</v>
      </c>
      <c r="C17" s="55">
        <v>400000</v>
      </c>
      <c r="E17" s="62">
        <f>COUNTIF(Hoja1!$C$9:$C$452,Hoja3!B17)</f>
        <v>0</v>
      </c>
    </row>
    <row r="18" spans="1:5" ht="51" x14ac:dyDescent="0.25">
      <c r="A18" s="53">
        <v>14</v>
      </c>
      <c r="B18" s="54" t="s">
        <v>86</v>
      </c>
      <c r="C18" s="55">
        <v>380000</v>
      </c>
      <c r="E18" s="62">
        <f>COUNTIF(Hoja1!$C$9:$C$452,Hoja3!B18)</f>
        <v>0</v>
      </c>
    </row>
    <row r="19" spans="1:5" ht="51" x14ac:dyDescent="0.25">
      <c r="A19" s="53">
        <v>0</v>
      </c>
      <c r="B19" s="54" t="s">
        <v>88</v>
      </c>
      <c r="C19" s="55">
        <v>130.95999999996275</v>
      </c>
      <c r="E19" s="62">
        <f>COUNTIF(Hoja1!$C$9:$C$452,Hoja3!B19)</f>
        <v>0</v>
      </c>
    </row>
    <row r="20" spans="1:5" ht="51" x14ac:dyDescent="0.25">
      <c r="A20" s="53">
        <v>1</v>
      </c>
      <c r="B20" s="54" t="s">
        <v>89</v>
      </c>
      <c r="C20" s="55">
        <v>19803</v>
      </c>
      <c r="E20" s="62">
        <f>COUNTIF(Hoja1!$C$9:$C$452,Hoja3!B20)</f>
        <v>0</v>
      </c>
    </row>
    <row r="21" spans="1:5" ht="63.75" x14ac:dyDescent="0.25">
      <c r="A21" s="53">
        <v>2</v>
      </c>
      <c r="B21" s="54" t="s">
        <v>90</v>
      </c>
      <c r="C21" s="55">
        <v>22750</v>
      </c>
      <c r="E21" s="62">
        <f>COUNTIF(Hoja1!$C$9:$C$452,Hoja3!B21)</f>
        <v>0</v>
      </c>
    </row>
    <row r="22" spans="1:5" ht="63.75" x14ac:dyDescent="0.25">
      <c r="A22" s="53">
        <v>3</v>
      </c>
      <c r="B22" s="54" t="s">
        <v>91</v>
      </c>
      <c r="C22" s="55">
        <v>19803</v>
      </c>
      <c r="E22" s="62">
        <f>COUNTIF(Hoja1!$C$9:$C$452,Hoja3!B22)</f>
        <v>0</v>
      </c>
    </row>
    <row r="23" spans="1:5" ht="51" x14ac:dyDescent="0.25">
      <c r="A23" s="53">
        <v>4</v>
      </c>
      <c r="B23" s="54" t="s">
        <v>92</v>
      </c>
      <c r="C23" s="55">
        <v>19803</v>
      </c>
      <c r="E23" s="62">
        <f>COUNTIF(Hoja1!$C$9:$C$452,Hoja3!B23)</f>
        <v>0</v>
      </c>
    </row>
    <row r="24" spans="1:5" ht="51" x14ac:dyDescent="0.25">
      <c r="A24" s="53">
        <v>5</v>
      </c>
      <c r="B24" s="54" t="s">
        <v>93</v>
      </c>
      <c r="C24" s="55">
        <v>22750</v>
      </c>
      <c r="E24" s="62">
        <f>COUNTIF(Hoja1!$C$9:$C$452,Hoja3!B24)</f>
        <v>0</v>
      </c>
    </row>
    <row r="25" spans="1:5" ht="51" x14ac:dyDescent="0.25">
      <c r="A25" s="53">
        <v>6</v>
      </c>
      <c r="B25" s="54" t="s">
        <v>94</v>
      </c>
      <c r="C25" s="55">
        <v>9901.5</v>
      </c>
      <c r="E25" s="62">
        <f>COUNTIF(Hoja1!$C$9:$C$452,Hoja3!B25)</f>
        <v>0</v>
      </c>
    </row>
    <row r="26" spans="1:5" ht="63.75" x14ac:dyDescent="0.25">
      <c r="A26" s="53">
        <v>7</v>
      </c>
      <c r="B26" s="54" t="s">
        <v>95</v>
      </c>
      <c r="C26" s="55">
        <v>11375</v>
      </c>
      <c r="E26" s="62">
        <f>COUNTIF(Hoja1!$C$9:$C$452,Hoja3!B26)</f>
        <v>0</v>
      </c>
    </row>
    <row r="27" spans="1:5" ht="51" x14ac:dyDescent="0.25">
      <c r="A27" s="53">
        <v>8</v>
      </c>
      <c r="B27" s="54" t="s">
        <v>96</v>
      </c>
      <c r="C27" s="55">
        <v>11375</v>
      </c>
      <c r="E27" s="62">
        <f>COUNTIF(Hoja1!$C$9:$C$452,Hoja3!B27)</f>
        <v>0</v>
      </c>
    </row>
    <row r="28" spans="1:5" ht="51" x14ac:dyDescent="0.25">
      <c r="A28" s="53">
        <v>9</v>
      </c>
      <c r="B28" s="54" t="s">
        <v>97</v>
      </c>
      <c r="C28" s="55">
        <v>22750</v>
      </c>
      <c r="E28" s="62">
        <f>COUNTIF(Hoja1!$C$9:$C$452,Hoja3!B28)</f>
        <v>0</v>
      </c>
    </row>
    <row r="29" spans="1:5" ht="51" x14ac:dyDescent="0.25">
      <c r="A29" s="53">
        <v>10</v>
      </c>
      <c r="B29" s="54" t="s">
        <v>98</v>
      </c>
      <c r="C29" s="55">
        <v>19803</v>
      </c>
      <c r="E29" s="62">
        <f>COUNTIF(Hoja1!$C$9:$C$452,Hoja3!B29)</f>
        <v>0</v>
      </c>
    </row>
    <row r="30" spans="1:5" ht="51" x14ac:dyDescent="0.25">
      <c r="A30" s="53">
        <v>11</v>
      </c>
      <c r="B30" s="54" t="s">
        <v>99</v>
      </c>
      <c r="C30" s="55">
        <v>19803</v>
      </c>
      <c r="E30" s="62">
        <f>COUNTIF(Hoja1!$C$9:$C$452,Hoja3!B30)</f>
        <v>0</v>
      </c>
    </row>
    <row r="31" spans="1:5" ht="51" x14ac:dyDescent="0.25">
      <c r="A31" s="53">
        <v>12</v>
      </c>
      <c r="B31" s="54" t="s">
        <v>100</v>
      </c>
      <c r="C31" s="55">
        <v>19803</v>
      </c>
      <c r="E31" s="62">
        <f>COUNTIF(Hoja1!$C$9:$C$452,Hoja3!B31)</f>
        <v>0</v>
      </c>
    </row>
    <row r="32" spans="1:5" ht="51" x14ac:dyDescent="0.25">
      <c r="A32" s="53">
        <v>13</v>
      </c>
      <c r="B32" s="54" t="s">
        <v>101</v>
      </c>
      <c r="C32" s="55">
        <v>9901.5</v>
      </c>
      <c r="E32" s="62">
        <f>COUNTIF(Hoja1!$C$9:$C$452,Hoja3!B32)</f>
        <v>0</v>
      </c>
    </row>
    <row r="33" spans="1:5" ht="63.75" x14ac:dyDescent="0.25">
      <c r="A33" s="53">
        <v>14</v>
      </c>
      <c r="B33" s="54" t="s">
        <v>102</v>
      </c>
      <c r="C33" s="55">
        <v>9901.5</v>
      </c>
      <c r="E33" s="62">
        <f>COUNTIF(Hoja1!$C$9:$C$452,Hoja3!B33)</f>
        <v>0</v>
      </c>
    </row>
    <row r="34" spans="1:5" ht="63.75" x14ac:dyDescent="0.25">
      <c r="A34" s="53">
        <v>16</v>
      </c>
      <c r="B34" s="54" t="s">
        <v>103</v>
      </c>
      <c r="C34" s="55">
        <v>9901.5</v>
      </c>
      <c r="E34" s="62">
        <f>COUNTIF(Hoja1!$C$9:$C$452,Hoja3!B34)</f>
        <v>0</v>
      </c>
    </row>
    <row r="35" spans="1:5" ht="51" x14ac:dyDescent="0.25">
      <c r="A35" s="53">
        <v>17</v>
      </c>
      <c r="B35" s="54" t="s">
        <v>104</v>
      </c>
      <c r="C35" s="55">
        <v>34125</v>
      </c>
      <c r="E35" s="62">
        <f>COUNTIF(Hoja1!$C$9:$C$452,Hoja3!B35)</f>
        <v>0</v>
      </c>
    </row>
    <row r="36" spans="1:5" ht="51" x14ac:dyDescent="0.25">
      <c r="A36" s="53">
        <v>18</v>
      </c>
      <c r="B36" s="54" t="s">
        <v>105</v>
      </c>
      <c r="C36" s="55">
        <v>19803</v>
      </c>
      <c r="E36" s="62">
        <f>COUNTIF(Hoja1!$C$9:$C$452,Hoja3!B36)</f>
        <v>0</v>
      </c>
    </row>
    <row r="37" spans="1:5" ht="63.75" x14ac:dyDescent="0.25">
      <c r="A37" s="53">
        <v>19</v>
      </c>
      <c r="B37" s="54" t="s">
        <v>106</v>
      </c>
      <c r="C37" s="55">
        <v>19803</v>
      </c>
      <c r="E37" s="62">
        <f>COUNTIF(Hoja1!$C$9:$C$452,Hoja3!B37)</f>
        <v>0</v>
      </c>
    </row>
    <row r="38" spans="1:5" ht="63.75" x14ac:dyDescent="0.25">
      <c r="A38" s="53">
        <v>20</v>
      </c>
      <c r="B38" s="54" t="s">
        <v>107</v>
      </c>
      <c r="C38" s="55">
        <v>39606</v>
      </c>
      <c r="E38" s="62">
        <f>COUNTIF(Hoja1!$C$9:$C$452,Hoja3!B38)</f>
        <v>0</v>
      </c>
    </row>
    <row r="39" spans="1:5" ht="51" x14ac:dyDescent="0.25">
      <c r="A39" s="53">
        <v>21</v>
      </c>
      <c r="B39" s="54" t="s">
        <v>108</v>
      </c>
      <c r="C39" s="55">
        <v>19803</v>
      </c>
      <c r="E39" s="62">
        <f>COUNTIF(Hoja1!$C$9:$C$452,Hoja3!B39)</f>
        <v>0</v>
      </c>
    </row>
    <row r="40" spans="1:5" ht="51" x14ac:dyDescent="0.25">
      <c r="A40" s="53">
        <v>22</v>
      </c>
      <c r="B40" s="54" t="s">
        <v>109</v>
      </c>
      <c r="C40" s="55">
        <v>19803</v>
      </c>
      <c r="E40" s="62">
        <f>COUNTIF(Hoja1!$C$9:$C$452,Hoja3!B40)</f>
        <v>0</v>
      </c>
    </row>
    <row r="41" spans="1:5" ht="63.75" x14ac:dyDescent="0.25">
      <c r="A41" s="53">
        <v>23</v>
      </c>
      <c r="B41" s="54" t="s">
        <v>110</v>
      </c>
      <c r="C41" s="55">
        <v>9901.5</v>
      </c>
      <c r="E41" s="62">
        <f>COUNTIF(Hoja1!$C$9:$C$452,Hoja3!B41)</f>
        <v>0</v>
      </c>
    </row>
    <row r="42" spans="1:5" ht="51" x14ac:dyDescent="0.25">
      <c r="A42" s="53">
        <v>24</v>
      </c>
      <c r="B42" s="54" t="s">
        <v>111</v>
      </c>
      <c r="C42" s="55">
        <v>19803</v>
      </c>
      <c r="E42" s="62">
        <f>COUNTIF(Hoja1!$C$9:$C$452,Hoja3!B42)</f>
        <v>0</v>
      </c>
    </row>
    <row r="43" spans="1:5" ht="51" x14ac:dyDescent="0.25">
      <c r="A43" s="53">
        <v>25</v>
      </c>
      <c r="B43" s="54" t="s">
        <v>112</v>
      </c>
      <c r="C43" s="55">
        <v>22750</v>
      </c>
      <c r="E43" s="62">
        <f>COUNTIF(Hoja1!$C$9:$C$452,Hoja3!B43)</f>
        <v>0</v>
      </c>
    </row>
    <row r="44" spans="1:5" ht="51" x14ac:dyDescent="0.25">
      <c r="A44" s="53">
        <v>26</v>
      </c>
      <c r="B44" s="54" t="s">
        <v>113</v>
      </c>
      <c r="C44" s="55">
        <v>34125</v>
      </c>
      <c r="E44" s="62">
        <f>COUNTIF(Hoja1!$C$9:$C$452,Hoja3!B44)</f>
        <v>0</v>
      </c>
    </row>
    <row r="45" spans="1:5" ht="51" x14ac:dyDescent="0.25">
      <c r="A45" s="53">
        <v>27</v>
      </c>
      <c r="B45" s="54" t="s">
        <v>114</v>
      </c>
      <c r="C45" s="55">
        <v>22750</v>
      </c>
      <c r="E45" s="62">
        <f>COUNTIF(Hoja1!$C$9:$C$452,Hoja3!B45)</f>
        <v>0</v>
      </c>
    </row>
    <row r="46" spans="1:5" ht="51" x14ac:dyDescent="0.25">
      <c r="A46" s="53">
        <v>28</v>
      </c>
      <c r="B46" s="54" t="s">
        <v>115</v>
      </c>
      <c r="C46" s="55">
        <v>11375</v>
      </c>
      <c r="E46" s="62">
        <f>COUNTIF(Hoja1!$C$9:$C$452,Hoja3!B46)</f>
        <v>0</v>
      </c>
    </row>
    <row r="47" spans="1:5" ht="51" x14ac:dyDescent="0.25">
      <c r="A47" s="53">
        <v>29</v>
      </c>
      <c r="B47" s="54" t="s">
        <v>116</v>
      </c>
      <c r="C47" s="55">
        <v>22750</v>
      </c>
      <c r="E47" s="62">
        <f>COUNTIF(Hoja1!$C$9:$C$452,Hoja3!B47)</f>
        <v>0</v>
      </c>
    </row>
    <row r="48" spans="1:5" ht="51" x14ac:dyDescent="0.25">
      <c r="A48" s="53">
        <v>30</v>
      </c>
      <c r="B48" s="54" t="s">
        <v>117</v>
      </c>
      <c r="C48" s="55">
        <v>19803</v>
      </c>
      <c r="E48" s="62">
        <f>COUNTIF(Hoja1!$C$9:$C$452,Hoja3!B48)</f>
        <v>0</v>
      </c>
    </row>
    <row r="49" spans="1:5" ht="63.75" x14ac:dyDescent="0.25">
      <c r="A49" s="53">
        <v>31</v>
      </c>
      <c r="B49" s="54" t="s">
        <v>118</v>
      </c>
      <c r="C49" s="55">
        <v>11375</v>
      </c>
      <c r="E49" s="62">
        <f>COUNTIF(Hoja1!$C$9:$C$452,Hoja3!B49)</f>
        <v>0</v>
      </c>
    </row>
    <row r="50" spans="1:5" ht="51" x14ac:dyDescent="0.25">
      <c r="A50" s="53">
        <v>32</v>
      </c>
      <c r="B50" s="54" t="s">
        <v>119</v>
      </c>
      <c r="C50" s="55">
        <v>22750</v>
      </c>
      <c r="E50" s="62">
        <f>COUNTIF(Hoja1!$C$9:$C$452,Hoja3!B50)</f>
        <v>0</v>
      </c>
    </row>
    <row r="51" spans="1:5" ht="51" x14ac:dyDescent="0.25">
      <c r="A51" s="53">
        <v>33</v>
      </c>
      <c r="B51" s="54" t="s">
        <v>116</v>
      </c>
      <c r="C51" s="55">
        <v>22750</v>
      </c>
      <c r="E51" s="62">
        <f>COUNTIF(Hoja1!$C$9:$C$452,Hoja3!B51)</f>
        <v>0</v>
      </c>
    </row>
    <row r="52" spans="1:5" ht="51" x14ac:dyDescent="0.25">
      <c r="A52" s="53">
        <v>34</v>
      </c>
      <c r="B52" s="54" t="s">
        <v>120</v>
      </c>
      <c r="C52" s="55">
        <v>11375</v>
      </c>
      <c r="E52" s="62">
        <f>COUNTIF(Hoja1!$C$9:$C$452,Hoja3!B52)</f>
        <v>0</v>
      </c>
    </row>
    <row r="53" spans="1:5" ht="63.75" x14ac:dyDescent="0.25">
      <c r="A53" s="53">
        <v>35</v>
      </c>
      <c r="B53" s="54" t="s">
        <v>121</v>
      </c>
      <c r="C53" s="55">
        <v>11375</v>
      </c>
      <c r="E53" s="62">
        <f>COUNTIF(Hoja1!$C$9:$C$452,Hoja3!B53)</f>
        <v>0</v>
      </c>
    </row>
    <row r="54" spans="1:5" ht="76.5" x14ac:dyDescent="0.25">
      <c r="A54" s="53">
        <v>36</v>
      </c>
      <c r="B54" s="54" t="s">
        <v>122</v>
      </c>
      <c r="C54" s="55">
        <v>11375</v>
      </c>
      <c r="E54" s="62">
        <f>COUNTIF(Hoja1!$C$9:$C$452,Hoja3!B54)</f>
        <v>0</v>
      </c>
    </row>
    <row r="55" spans="1:5" ht="51" x14ac:dyDescent="0.25">
      <c r="A55" s="53">
        <v>37</v>
      </c>
      <c r="B55" s="54" t="s">
        <v>123</v>
      </c>
      <c r="C55" s="55">
        <v>11375</v>
      </c>
      <c r="E55" s="62">
        <f>COUNTIF(Hoja1!$C$9:$C$452,Hoja3!B55)</f>
        <v>0</v>
      </c>
    </row>
    <row r="56" spans="1:5" ht="51" x14ac:dyDescent="0.25">
      <c r="A56" s="53">
        <v>38</v>
      </c>
      <c r="B56" s="54" t="s">
        <v>124</v>
      </c>
      <c r="C56" s="55">
        <v>34125</v>
      </c>
      <c r="E56" s="62">
        <f>COUNTIF(Hoja1!$C$9:$C$452,Hoja3!B56)</f>
        <v>0</v>
      </c>
    </row>
    <row r="57" spans="1:5" ht="63.75" x14ac:dyDescent="0.25">
      <c r="A57" s="53">
        <v>39</v>
      </c>
      <c r="B57" s="54" t="s">
        <v>125</v>
      </c>
      <c r="C57" s="55">
        <v>22750</v>
      </c>
      <c r="E57" s="62">
        <f>COUNTIF(Hoja1!$C$9:$C$452,Hoja3!B57)</f>
        <v>0</v>
      </c>
    </row>
    <row r="58" spans="1:5" ht="63.75" x14ac:dyDescent="0.25">
      <c r="A58" s="53">
        <v>40</v>
      </c>
      <c r="B58" s="54" t="s">
        <v>126</v>
      </c>
      <c r="C58" s="55">
        <v>39606</v>
      </c>
      <c r="E58" s="62">
        <f>COUNTIF(Hoja1!$C$9:$C$452,Hoja3!B58)</f>
        <v>0</v>
      </c>
    </row>
    <row r="59" spans="1:5" ht="51" x14ac:dyDescent="0.25">
      <c r="A59" s="53">
        <v>41</v>
      </c>
      <c r="B59" s="54" t="s">
        <v>116</v>
      </c>
      <c r="C59" s="55">
        <v>41184.5</v>
      </c>
      <c r="E59" s="62">
        <f>COUNTIF(Hoja1!$C$9:$C$452,Hoja3!B59)</f>
        <v>0</v>
      </c>
    </row>
    <row r="60" spans="1:5" ht="51" x14ac:dyDescent="0.25">
      <c r="A60" s="53">
        <v>42</v>
      </c>
      <c r="B60" s="54" t="s">
        <v>116</v>
      </c>
      <c r="C60" s="55">
        <v>28000</v>
      </c>
      <c r="E60" s="62">
        <f>COUNTIF(Hoja1!$C$9:$C$452,Hoja3!B60)</f>
        <v>0</v>
      </c>
    </row>
    <row r="61" spans="1:5" ht="63.75" x14ac:dyDescent="0.25">
      <c r="A61" s="53">
        <v>43</v>
      </c>
      <c r="B61" s="54" t="s">
        <v>127</v>
      </c>
      <c r="C61" s="55">
        <v>22750</v>
      </c>
      <c r="E61" s="62">
        <f>COUNTIF(Hoja1!$C$9:$C$452,Hoja3!B61)</f>
        <v>0</v>
      </c>
    </row>
    <row r="62" spans="1:5" ht="51" x14ac:dyDescent="0.25">
      <c r="A62" s="53">
        <v>44</v>
      </c>
      <c r="B62" s="54" t="s">
        <v>128</v>
      </c>
      <c r="C62" s="55">
        <v>22750</v>
      </c>
      <c r="E62" s="62">
        <f>COUNTIF(Hoja1!$C$9:$C$452,Hoja3!B62)</f>
        <v>0</v>
      </c>
    </row>
    <row r="63" spans="1:5" ht="51" x14ac:dyDescent="0.25">
      <c r="A63" s="53">
        <v>45</v>
      </c>
      <c r="B63" s="54" t="s">
        <v>129</v>
      </c>
      <c r="C63" s="55">
        <v>19803</v>
      </c>
      <c r="E63" s="62">
        <f>COUNTIF(Hoja1!$C$9:$C$452,Hoja3!B63)</f>
        <v>0</v>
      </c>
    </row>
    <row r="64" spans="1:5" ht="51" x14ac:dyDescent="0.25">
      <c r="A64" s="53">
        <v>46</v>
      </c>
      <c r="B64" s="54" t="s">
        <v>130</v>
      </c>
      <c r="C64" s="55">
        <v>22750</v>
      </c>
      <c r="E64" s="62">
        <f>COUNTIF(Hoja1!$C$9:$C$452,Hoja3!B64)</f>
        <v>0</v>
      </c>
    </row>
    <row r="65" spans="1:5" ht="63.75" x14ac:dyDescent="0.25">
      <c r="A65" s="53">
        <v>47</v>
      </c>
      <c r="B65" s="54" t="s">
        <v>131</v>
      </c>
      <c r="C65" s="55">
        <v>34125</v>
      </c>
      <c r="E65" s="62">
        <f>COUNTIF(Hoja1!$C$9:$C$452,Hoja3!B65)</f>
        <v>0</v>
      </c>
    </row>
    <row r="66" spans="1:5" ht="51" x14ac:dyDescent="0.25">
      <c r="A66" s="53">
        <v>48</v>
      </c>
      <c r="B66" s="54" t="s">
        <v>132</v>
      </c>
      <c r="C66" s="55">
        <v>22750</v>
      </c>
      <c r="E66" s="62">
        <f>COUNTIF(Hoja1!$C$9:$C$452,Hoja3!B66)</f>
        <v>0</v>
      </c>
    </row>
    <row r="67" spans="1:5" ht="51" x14ac:dyDescent="0.25">
      <c r="A67" s="53">
        <v>49</v>
      </c>
      <c r="B67" s="54" t="s">
        <v>133</v>
      </c>
      <c r="C67" s="55">
        <v>9901.5</v>
      </c>
      <c r="E67" s="62">
        <f>COUNTIF(Hoja1!$C$9:$C$452,Hoja3!B67)</f>
        <v>0</v>
      </c>
    </row>
    <row r="68" spans="1:5" ht="76.5" x14ac:dyDescent="0.25">
      <c r="A68" s="53">
        <v>50</v>
      </c>
      <c r="B68" s="54" t="s">
        <v>227</v>
      </c>
      <c r="C68" s="55">
        <v>11375</v>
      </c>
      <c r="E68" s="62">
        <f>COUNTIF(Hoja1!$C$9:$C$452,Hoja3!B68)</f>
        <v>0</v>
      </c>
    </row>
    <row r="69" spans="1:5" ht="51" x14ac:dyDescent="0.25">
      <c r="A69" s="53">
        <v>51</v>
      </c>
      <c r="B69" s="54" t="s">
        <v>228</v>
      </c>
      <c r="C69" s="55">
        <v>1499999.54</v>
      </c>
      <c r="E69" s="62">
        <f>COUNTIF(Hoja1!$C$9:$C$452,Hoja3!B69)</f>
        <v>0</v>
      </c>
    </row>
    <row r="70" spans="1:5" ht="38.25" x14ac:dyDescent="0.25">
      <c r="A70" s="53">
        <v>2</v>
      </c>
      <c r="B70" s="54" t="s">
        <v>134</v>
      </c>
      <c r="C70" s="55">
        <v>48464.91</v>
      </c>
      <c r="E70" s="62">
        <f>COUNTIF(Hoja1!$C$9:$C$452,Hoja3!B70)</f>
        <v>0</v>
      </c>
    </row>
    <row r="71" spans="1:5" ht="38.25" x14ac:dyDescent="0.25">
      <c r="A71" s="53">
        <v>0</v>
      </c>
      <c r="B71" s="54" t="s">
        <v>135</v>
      </c>
      <c r="C71" s="55">
        <v>0.37999999988824129</v>
      </c>
      <c r="E71" s="62">
        <f>COUNTIF(Hoja1!$C$9:$C$452,Hoja3!B71)</f>
        <v>0</v>
      </c>
    </row>
    <row r="72" spans="1:5" ht="51" x14ac:dyDescent="0.25">
      <c r="A72" s="53">
        <v>1</v>
      </c>
      <c r="B72" s="54" t="s">
        <v>229</v>
      </c>
      <c r="C72" s="55">
        <v>896284.53000000014</v>
      </c>
      <c r="E72" s="62">
        <f>COUNTIF(Hoja1!$C$9:$C$452,Hoja3!B72)</f>
        <v>0</v>
      </c>
    </row>
    <row r="73" spans="1:5" ht="51" x14ac:dyDescent="0.25">
      <c r="A73" s="53">
        <v>2</v>
      </c>
      <c r="B73" s="54" t="s">
        <v>230</v>
      </c>
      <c r="C73" s="55">
        <v>585900</v>
      </c>
      <c r="E73" s="62">
        <f>COUNTIF(Hoja1!$C$9:$C$452,Hoja3!B73)</f>
        <v>0</v>
      </c>
    </row>
    <row r="74" spans="1:5" ht="51" x14ac:dyDescent="0.25">
      <c r="A74" s="53">
        <v>3</v>
      </c>
      <c r="B74" s="54" t="s">
        <v>231</v>
      </c>
      <c r="C74" s="55">
        <v>283500</v>
      </c>
      <c r="E74" s="62">
        <f>COUNTIF(Hoja1!$C$9:$C$452,Hoja3!B74)</f>
        <v>0</v>
      </c>
    </row>
    <row r="75" spans="1:5" ht="51" x14ac:dyDescent="0.25">
      <c r="A75" s="53">
        <v>4</v>
      </c>
      <c r="B75" s="54" t="s">
        <v>232</v>
      </c>
      <c r="C75" s="55">
        <v>236250</v>
      </c>
      <c r="E75" s="62">
        <f>COUNTIF(Hoja1!$C$9:$C$452,Hoja3!B75)</f>
        <v>0</v>
      </c>
    </row>
    <row r="76" spans="1:5" ht="51" x14ac:dyDescent="0.25">
      <c r="A76" s="53">
        <v>5</v>
      </c>
      <c r="B76" s="54" t="s">
        <v>233</v>
      </c>
      <c r="C76" s="55">
        <v>189000</v>
      </c>
      <c r="E76" s="62">
        <f>COUNTIF(Hoja1!$C$9:$C$452,Hoja3!B76)</f>
        <v>0</v>
      </c>
    </row>
    <row r="77" spans="1:5" ht="63.75" x14ac:dyDescent="0.25">
      <c r="A77" s="53">
        <v>6</v>
      </c>
      <c r="B77" s="54" t="s">
        <v>234</v>
      </c>
      <c r="C77" s="55">
        <v>283500</v>
      </c>
      <c r="E77" s="62">
        <f>COUNTIF(Hoja1!$C$9:$C$452,Hoja3!B77)</f>
        <v>0</v>
      </c>
    </row>
    <row r="78" spans="1:5" ht="38.25" x14ac:dyDescent="0.25">
      <c r="A78" s="53">
        <v>7</v>
      </c>
      <c r="B78" s="54" t="s">
        <v>235</v>
      </c>
      <c r="C78" s="55">
        <v>141750</v>
      </c>
      <c r="E78" s="62">
        <f>COUNTIF(Hoja1!$C$9:$C$452,Hoja3!B78)</f>
        <v>0</v>
      </c>
    </row>
    <row r="79" spans="1:5" ht="51" x14ac:dyDescent="0.25">
      <c r="A79" s="53">
        <v>8</v>
      </c>
      <c r="B79" s="54" t="s">
        <v>236</v>
      </c>
      <c r="C79" s="55">
        <v>122850</v>
      </c>
      <c r="E79" s="62">
        <f>COUNTIF(Hoja1!$C$9:$C$452,Hoja3!B79)</f>
        <v>0</v>
      </c>
    </row>
    <row r="80" spans="1:5" ht="38.25" x14ac:dyDescent="0.25">
      <c r="A80" s="53">
        <v>9</v>
      </c>
      <c r="B80" s="54" t="s">
        <v>237</v>
      </c>
      <c r="C80" s="55">
        <v>75600</v>
      </c>
      <c r="E80" s="62">
        <f>COUNTIF(Hoja1!$C$9:$C$452,Hoja3!B80)</f>
        <v>0</v>
      </c>
    </row>
    <row r="81" spans="1:5" ht="51" x14ac:dyDescent="0.25">
      <c r="A81" s="53">
        <v>10</v>
      </c>
      <c r="B81" s="54" t="s">
        <v>238</v>
      </c>
      <c r="C81" s="55">
        <v>94500</v>
      </c>
      <c r="E81" s="62">
        <f>COUNTIF(Hoja1!$C$9:$C$452,Hoja3!B81)</f>
        <v>0</v>
      </c>
    </row>
    <row r="82" spans="1:5" ht="51" x14ac:dyDescent="0.25">
      <c r="A82" s="53">
        <v>11</v>
      </c>
      <c r="B82" s="54" t="s">
        <v>239</v>
      </c>
      <c r="C82" s="55">
        <v>28350</v>
      </c>
      <c r="E82" s="62">
        <f>COUNTIF(Hoja1!$C$9:$C$452,Hoja3!B82)</f>
        <v>0</v>
      </c>
    </row>
    <row r="83" spans="1:5" ht="51" x14ac:dyDescent="0.25">
      <c r="A83" s="53">
        <v>12</v>
      </c>
      <c r="B83" s="54" t="s">
        <v>240</v>
      </c>
      <c r="C83" s="55">
        <v>66150</v>
      </c>
      <c r="E83" s="62">
        <f>COUNTIF(Hoja1!$C$9:$C$452,Hoja3!B83)</f>
        <v>0</v>
      </c>
    </row>
    <row r="84" spans="1:5" ht="38.25" x14ac:dyDescent="0.25">
      <c r="A84" s="53">
        <v>13</v>
      </c>
      <c r="B84" s="54" t="s">
        <v>241</v>
      </c>
      <c r="C84" s="55">
        <v>47250</v>
      </c>
      <c r="E84" s="62">
        <f>COUNTIF(Hoja1!$C$9:$C$452,Hoja3!B84)</f>
        <v>0</v>
      </c>
    </row>
    <row r="85" spans="1:5" ht="51" x14ac:dyDescent="0.25">
      <c r="A85" s="53">
        <v>14</v>
      </c>
      <c r="B85" s="54" t="s">
        <v>242</v>
      </c>
      <c r="C85" s="55">
        <v>47250</v>
      </c>
      <c r="E85" s="62">
        <f>COUNTIF(Hoja1!$C$9:$C$452,Hoja3!B85)</f>
        <v>0</v>
      </c>
    </row>
    <row r="86" spans="1:5" ht="51" x14ac:dyDescent="0.25">
      <c r="A86" s="53">
        <v>15</v>
      </c>
      <c r="B86" s="54" t="s">
        <v>243</v>
      </c>
      <c r="C86" s="55">
        <v>94500</v>
      </c>
      <c r="E86" s="62">
        <f>COUNTIF(Hoja1!$C$9:$C$452,Hoja3!B86)</f>
        <v>0</v>
      </c>
    </row>
    <row r="87" spans="1:5" ht="51" x14ac:dyDescent="0.25">
      <c r="A87" s="53">
        <v>16</v>
      </c>
      <c r="B87" s="54" t="s">
        <v>244</v>
      </c>
      <c r="C87" s="55">
        <v>94500</v>
      </c>
      <c r="E87" s="62">
        <f>COUNTIF(Hoja1!$C$9:$C$452,Hoja3!B87)</f>
        <v>0</v>
      </c>
    </row>
    <row r="88" spans="1:5" ht="51" x14ac:dyDescent="0.25">
      <c r="A88" s="53">
        <v>17</v>
      </c>
      <c r="B88" s="54" t="s">
        <v>245</v>
      </c>
      <c r="C88" s="55">
        <v>236250</v>
      </c>
      <c r="E88" s="62">
        <f>COUNTIF(Hoja1!$C$9:$C$452,Hoja3!B88)</f>
        <v>0</v>
      </c>
    </row>
    <row r="89" spans="1:5" ht="51" x14ac:dyDescent="0.25">
      <c r="A89" s="53">
        <v>18</v>
      </c>
      <c r="B89" s="54" t="s">
        <v>246</v>
      </c>
      <c r="C89" s="55">
        <v>75600</v>
      </c>
      <c r="E89" s="62">
        <f>COUNTIF(Hoja1!$C$9:$C$452,Hoja3!B89)</f>
        <v>0</v>
      </c>
    </row>
    <row r="90" spans="1:5" ht="51" x14ac:dyDescent="0.25">
      <c r="A90" s="53">
        <v>19</v>
      </c>
      <c r="B90" s="54" t="s">
        <v>247</v>
      </c>
      <c r="C90" s="55">
        <v>94500</v>
      </c>
      <c r="E90" s="62">
        <f>COUNTIF(Hoja1!$C$9:$C$452,Hoja3!B90)</f>
        <v>0</v>
      </c>
    </row>
    <row r="91" spans="1:5" ht="38.25" x14ac:dyDescent="0.25">
      <c r="A91" s="53">
        <v>1</v>
      </c>
      <c r="B91" s="54" t="s">
        <v>248</v>
      </c>
      <c r="C91" s="55">
        <v>150000</v>
      </c>
      <c r="E91" s="62">
        <f>COUNTIF(Hoja1!$C$9:$C$452,Hoja3!B91)</f>
        <v>1</v>
      </c>
    </row>
    <row r="92" spans="1:5" ht="38.25" x14ac:dyDescent="0.25">
      <c r="A92" s="53">
        <v>2</v>
      </c>
      <c r="B92" s="54" t="s">
        <v>249</v>
      </c>
      <c r="C92" s="55">
        <v>75000</v>
      </c>
      <c r="E92" s="62">
        <f>COUNTIF(Hoja1!$C$9:$C$452,Hoja3!B92)</f>
        <v>1</v>
      </c>
    </row>
    <row r="93" spans="1:5" ht="38.25" x14ac:dyDescent="0.25">
      <c r="A93" s="53">
        <v>3</v>
      </c>
      <c r="B93" s="54" t="s">
        <v>250</v>
      </c>
      <c r="C93" s="55">
        <v>87500</v>
      </c>
      <c r="E93" s="62">
        <f>COUNTIF(Hoja1!$C$9:$C$452,Hoja3!B93)</f>
        <v>0</v>
      </c>
    </row>
    <row r="94" spans="1:5" ht="38.25" x14ac:dyDescent="0.25">
      <c r="A94" s="53">
        <v>4</v>
      </c>
      <c r="B94" s="54" t="s">
        <v>251</v>
      </c>
      <c r="C94" s="55">
        <v>100000</v>
      </c>
      <c r="E94" s="62">
        <f>COUNTIF(Hoja1!$C$9:$C$452,Hoja3!B94)</f>
        <v>0</v>
      </c>
    </row>
    <row r="95" spans="1:5" ht="38.25" x14ac:dyDescent="0.25">
      <c r="A95" s="53">
        <v>5</v>
      </c>
      <c r="B95" s="54" t="s">
        <v>252</v>
      </c>
      <c r="C95" s="55">
        <v>100000</v>
      </c>
      <c r="E95" s="62">
        <f>COUNTIF(Hoja1!$C$9:$C$452,Hoja3!B95)</f>
        <v>0</v>
      </c>
    </row>
    <row r="96" spans="1:5" ht="38.25" x14ac:dyDescent="0.25">
      <c r="A96" s="53">
        <v>6</v>
      </c>
      <c r="B96" s="54" t="s">
        <v>253</v>
      </c>
      <c r="C96" s="55">
        <v>80000</v>
      </c>
      <c r="E96" s="62">
        <f>COUNTIF(Hoja1!$C$9:$C$452,Hoja3!B96)</f>
        <v>0</v>
      </c>
    </row>
    <row r="97" spans="1:5" ht="51" x14ac:dyDescent="0.25">
      <c r="A97" s="53">
        <v>7</v>
      </c>
      <c r="B97" s="54" t="s">
        <v>254</v>
      </c>
      <c r="C97" s="55">
        <v>75000</v>
      </c>
      <c r="E97" s="62">
        <f>COUNTIF(Hoja1!$C$9:$C$452,Hoja3!B97)</f>
        <v>0</v>
      </c>
    </row>
    <row r="98" spans="1:5" ht="38.25" x14ac:dyDescent="0.25">
      <c r="A98" s="53">
        <v>8</v>
      </c>
      <c r="B98" s="54" t="s">
        <v>255</v>
      </c>
      <c r="C98" s="55">
        <v>75000</v>
      </c>
      <c r="E98" s="62">
        <f>COUNTIF(Hoja1!$C$9:$C$452,Hoja3!B98)</f>
        <v>0</v>
      </c>
    </row>
    <row r="99" spans="1:5" ht="38.25" x14ac:dyDescent="0.25">
      <c r="A99" s="53">
        <v>9</v>
      </c>
      <c r="B99" s="54" t="s">
        <v>256</v>
      </c>
      <c r="C99" s="55">
        <v>50000</v>
      </c>
      <c r="E99" s="62">
        <f>COUNTIF(Hoja1!$C$9:$C$452,Hoja3!B99)</f>
        <v>0</v>
      </c>
    </row>
    <row r="100" spans="1:5" ht="38.25" x14ac:dyDescent="0.25">
      <c r="A100" s="53">
        <v>10</v>
      </c>
      <c r="B100" s="54" t="s">
        <v>257</v>
      </c>
      <c r="C100" s="55">
        <v>50000</v>
      </c>
      <c r="E100" s="62">
        <f>COUNTIF(Hoja1!$C$9:$C$452,Hoja3!B100)</f>
        <v>1</v>
      </c>
    </row>
    <row r="101" spans="1:5" ht="38.25" x14ac:dyDescent="0.25">
      <c r="A101" s="53">
        <v>11</v>
      </c>
      <c r="B101" s="54" t="s">
        <v>258</v>
      </c>
      <c r="C101" s="55">
        <v>45000</v>
      </c>
      <c r="E101" s="62">
        <f>COUNTIF(Hoja1!$C$9:$C$452,Hoja3!B101)</f>
        <v>0</v>
      </c>
    </row>
    <row r="102" spans="1:5" ht="38.25" x14ac:dyDescent="0.25">
      <c r="A102" s="53">
        <v>12</v>
      </c>
      <c r="B102" s="54" t="s">
        <v>259</v>
      </c>
      <c r="C102" s="55">
        <v>32500</v>
      </c>
      <c r="E102" s="62">
        <f>COUNTIF(Hoja1!$C$9:$C$452,Hoja3!B102)</f>
        <v>0</v>
      </c>
    </row>
    <row r="103" spans="1:5" ht="38.25" x14ac:dyDescent="0.25">
      <c r="A103" s="53">
        <v>13</v>
      </c>
      <c r="B103" s="54" t="s">
        <v>260</v>
      </c>
      <c r="C103" s="55">
        <v>15000</v>
      </c>
      <c r="E103" s="62">
        <f>COUNTIF(Hoja1!$C$9:$C$452,Hoja3!B103)</f>
        <v>0</v>
      </c>
    </row>
    <row r="104" spans="1:5" ht="38.25" x14ac:dyDescent="0.25">
      <c r="A104" s="53">
        <v>14</v>
      </c>
      <c r="B104" s="54" t="s">
        <v>261</v>
      </c>
      <c r="C104" s="55">
        <v>62500</v>
      </c>
      <c r="E104" s="62">
        <f>COUNTIF(Hoja1!$C$9:$C$452,Hoja3!B104)</f>
        <v>0</v>
      </c>
    </row>
    <row r="105" spans="1:5" ht="38.25" x14ac:dyDescent="0.25">
      <c r="A105" s="53">
        <v>15</v>
      </c>
      <c r="B105" s="54" t="s">
        <v>262</v>
      </c>
      <c r="C105" s="55">
        <v>32500</v>
      </c>
      <c r="E105" s="62">
        <f>COUNTIF(Hoja1!$C$9:$C$452,Hoja3!B105)</f>
        <v>1</v>
      </c>
    </row>
    <row r="106" spans="1:5" ht="51" x14ac:dyDescent="0.25">
      <c r="A106" s="53">
        <v>16</v>
      </c>
      <c r="B106" s="54" t="s">
        <v>263</v>
      </c>
      <c r="C106" s="55">
        <v>25000</v>
      </c>
      <c r="E106" s="62">
        <f>COUNTIF(Hoja1!$C$9:$C$452,Hoja3!B106)</f>
        <v>0</v>
      </c>
    </row>
    <row r="107" spans="1:5" ht="38.25" x14ac:dyDescent="0.25">
      <c r="A107" s="53">
        <v>17</v>
      </c>
      <c r="B107" s="54" t="s">
        <v>264</v>
      </c>
      <c r="C107" s="55">
        <v>12500</v>
      </c>
      <c r="E107" s="62">
        <f>COUNTIF(Hoja1!$C$9:$C$452,Hoja3!B107)</f>
        <v>1</v>
      </c>
    </row>
    <row r="108" spans="1:5" ht="38.25" x14ac:dyDescent="0.25">
      <c r="A108" s="53">
        <v>18</v>
      </c>
      <c r="B108" s="54" t="s">
        <v>265</v>
      </c>
      <c r="C108" s="55">
        <v>12500</v>
      </c>
      <c r="E108" s="62">
        <f>COUNTIF(Hoja1!$C$9:$C$452,Hoja3!B108)</f>
        <v>0</v>
      </c>
    </row>
    <row r="109" spans="1:5" ht="38.25" x14ac:dyDescent="0.25">
      <c r="A109" s="53">
        <v>19</v>
      </c>
      <c r="B109" s="54" t="s">
        <v>266</v>
      </c>
      <c r="C109" s="55">
        <v>27500</v>
      </c>
      <c r="E109" s="62">
        <f>COUNTIF(Hoja1!$C$9:$C$452,Hoja3!B109)</f>
        <v>1</v>
      </c>
    </row>
    <row r="110" spans="1:5" ht="38.25" x14ac:dyDescent="0.25">
      <c r="A110" s="53">
        <v>20</v>
      </c>
      <c r="B110" s="54" t="s">
        <v>267</v>
      </c>
      <c r="C110" s="55">
        <v>7500</v>
      </c>
      <c r="E110" s="62">
        <f>COUNTIF(Hoja1!$C$9:$C$452,Hoja3!B110)</f>
        <v>0</v>
      </c>
    </row>
    <row r="111" spans="1:5" ht="38.25" x14ac:dyDescent="0.25">
      <c r="A111" s="53">
        <v>21</v>
      </c>
      <c r="B111" s="54" t="s">
        <v>268</v>
      </c>
      <c r="C111" s="55">
        <v>15000</v>
      </c>
      <c r="E111" s="62">
        <f>COUNTIF(Hoja1!$C$9:$C$452,Hoja3!B111)</f>
        <v>1</v>
      </c>
    </row>
    <row r="112" spans="1:5" ht="38.25" x14ac:dyDescent="0.25">
      <c r="A112" s="53">
        <v>22</v>
      </c>
      <c r="B112" s="54" t="s">
        <v>269</v>
      </c>
      <c r="C112" s="55">
        <v>17500</v>
      </c>
      <c r="E112" s="62">
        <f>COUNTIF(Hoja1!$C$9:$C$452,Hoja3!B112)</f>
        <v>0</v>
      </c>
    </row>
    <row r="113" spans="1:5" ht="38.25" x14ac:dyDescent="0.25">
      <c r="A113" s="53">
        <v>23</v>
      </c>
      <c r="B113" s="54" t="s">
        <v>270</v>
      </c>
      <c r="C113" s="55">
        <v>55000</v>
      </c>
      <c r="E113" s="62">
        <f>COUNTIF(Hoja1!$C$9:$C$452,Hoja3!B113)</f>
        <v>1</v>
      </c>
    </row>
    <row r="114" spans="1:5" ht="38.25" x14ac:dyDescent="0.25">
      <c r="A114" s="53">
        <v>24</v>
      </c>
      <c r="B114" s="54" t="s">
        <v>271</v>
      </c>
      <c r="C114" s="55">
        <v>62500</v>
      </c>
      <c r="E114" s="62">
        <f>COUNTIF(Hoja1!$C$9:$C$452,Hoja3!B114)</f>
        <v>0</v>
      </c>
    </row>
    <row r="115" spans="1:5" ht="38.25" x14ac:dyDescent="0.25">
      <c r="A115" s="53">
        <v>25</v>
      </c>
      <c r="B115" s="54" t="s">
        <v>272</v>
      </c>
      <c r="C115" s="55">
        <v>25000</v>
      </c>
      <c r="E115" s="62">
        <f>COUNTIF(Hoja1!$C$9:$C$452,Hoja3!B115)</f>
        <v>0</v>
      </c>
    </row>
    <row r="116" spans="1:5" ht="38.25" x14ac:dyDescent="0.25">
      <c r="A116" s="53">
        <v>26</v>
      </c>
      <c r="B116" s="54" t="s">
        <v>273</v>
      </c>
      <c r="C116" s="55">
        <v>62500</v>
      </c>
      <c r="E116" s="62">
        <f>COUNTIF(Hoja1!$C$9:$C$452,Hoja3!B116)</f>
        <v>1</v>
      </c>
    </row>
    <row r="117" spans="1:5" ht="51" x14ac:dyDescent="0.25">
      <c r="A117" s="53">
        <v>27</v>
      </c>
      <c r="B117" s="54" t="s">
        <v>274</v>
      </c>
      <c r="C117" s="55">
        <v>25000</v>
      </c>
      <c r="E117" s="62">
        <f>COUNTIF(Hoja1!$C$9:$C$452,Hoja3!B117)</f>
        <v>0</v>
      </c>
    </row>
    <row r="118" spans="1:5" ht="38.25" x14ac:dyDescent="0.25">
      <c r="A118" s="53">
        <v>28</v>
      </c>
      <c r="B118" s="54" t="s">
        <v>275</v>
      </c>
      <c r="C118" s="55">
        <v>90000</v>
      </c>
      <c r="E118" s="62">
        <f>COUNTIF(Hoja1!$C$9:$C$452,Hoja3!B118)</f>
        <v>0</v>
      </c>
    </row>
    <row r="119" spans="1:5" ht="38.25" x14ac:dyDescent="0.25">
      <c r="A119" s="53">
        <v>29</v>
      </c>
      <c r="B119" s="54" t="s">
        <v>276</v>
      </c>
      <c r="C119" s="55">
        <v>40000</v>
      </c>
      <c r="E119" s="62">
        <f>COUNTIF(Hoja1!$C$9:$C$452,Hoja3!B119)</f>
        <v>0</v>
      </c>
    </row>
    <row r="120" spans="1:5" ht="38.25" x14ac:dyDescent="0.25">
      <c r="A120" s="53">
        <v>30</v>
      </c>
      <c r="B120" s="54" t="s">
        <v>277</v>
      </c>
      <c r="C120" s="55">
        <v>20000</v>
      </c>
      <c r="E120" s="62">
        <f>COUNTIF(Hoja1!$C$9:$C$452,Hoja3!B120)</f>
        <v>0</v>
      </c>
    </row>
    <row r="121" spans="1:5" ht="38.25" x14ac:dyDescent="0.25">
      <c r="A121" s="53">
        <v>31</v>
      </c>
      <c r="B121" s="54" t="s">
        <v>278</v>
      </c>
      <c r="C121" s="55">
        <v>47500</v>
      </c>
      <c r="E121" s="62">
        <f>COUNTIF(Hoja1!$C$9:$C$452,Hoja3!B121)</f>
        <v>1</v>
      </c>
    </row>
    <row r="122" spans="1:5" ht="38.25" x14ac:dyDescent="0.25">
      <c r="A122" s="53">
        <v>1</v>
      </c>
      <c r="B122" s="54" t="s">
        <v>279</v>
      </c>
      <c r="C122" s="55">
        <v>96908.93</v>
      </c>
      <c r="E122" s="62">
        <f>COUNTIF(Hoja1!$C$9:$C$452,Hoja3!B122)</f>
        <v>0</v>
      </c>
    </row>
    <row r="123" spans="1:5" ht="38.25" x14ac:dyDescent="0.25">
      <c r="A123" s="53">
        <v>2</v>
      </c>
      <c r="B123" s="54" t="s">
        <v>280</v>
      </c>
      <c r="C123" s="55">
        <v>255000</v>
      </c>
      <c r="E123" s="62">
        <f>COUNTIF(Hoja1!$C$9:$C$452,Hoja3!B123)</f>
        <v>0</v>
      </c>
    </row>
    <row r="124" spans="1:5" ht="38.25" x14ac:dyDescent="0.25">
      <c r="A124" s="53">
        <v>3</v>
      </c>
      <c r="B124" s="54" t="s">
        <v>281</v>
      </c>
      <c r="C124" s="55">
        <v>863091.07</v>
      </c>
      <c r="E124" s="62">
        <f>COUNTIF(Hoja1!$C$9:$C$452,Hoja3!B124)</f>
        <v>0</v>
      </c>
    </row>
    <row r="125" spans="1:5" ht="51" x14ac:dyDescent="0.25">
      <c r="A125" s="53">
        <v>4</v>
      </c>
      <c r="B125" s="54" t="s">
        <v>282</v>
      </c>
      <c r="C125" s="55">
        <v>255000</v>
      </c>
      <c r="E125" s="62">
        <f>COUNTIF(Hoja1!$C$9:$C$452,Hoja3!B125)</f>
        <v>0</v>
      </c>
    </row>
    <row r="126" spans="1:5" ht="38.25" x14ac:dyDescent="0.25">
      <c r="A126" s="53">
        <v>5</v>
      </c>
      <c r="B126" s="54" t="s">
        <v>283</v>
      </c>
      <c r="C126" s="55">
        <v>595000</v>
      </c>
      <c r="E126" s="62">
        <f>COUNTIF(Hoja1!$C$9:$C$452,Hoja3!B126)</f>
        <v>0</v>
      </c>
    </row>
    <row r="127" spans="1:5" ht="51" x14ac:dyDescent="0.25">
      <c r="A127" s="53">
        <v>6</v>
      </c>
      <c r="B127" s="54" t="s">
        <v>284</v>
      </c>
      <c r="C127" s="55">
        <v>255000</v>
      </c>
      <c r="E127" s="62">
        <f>COUNTIF(Hoja1!$C$9:$C$452,Hoja3!B127)</f>
        <v>0</v>
      </c>
    </row>
    <row r="128" spans="1:5" ht="38.25" x14ac:dyDescent="0.25">
      <c r="A128" s="53">
        <v>7</v>
      </c>
      <c r="B128" s="54" t="s">
        <v>285</v>
      </c>
      <c r="C128" s="55">
        <v>170000</v>
      </c>
      <c r="E128" s="62">
        <f>COUNTIF(Hoja1!$C$9:$C$452,Hoja3!B128)</f>
        <v>0</v>
      </c>
    </row>
    <row r="129" spans="1:5" ht="38.25" x14ac:dyDescent="0.25">
      <c r="A129" s="53">
        <v>8</v>
      </c>
      <c r="B129" s="54" t="s">
        <v>286</v>
      </c>
      <c r="C129" s="55">
        <v>170000</v>
      </c>
      <c r="E129" s="62">
        <f>COUNTIF(Hoja1!$C$9:$C$452,Hoja3!B129)</f>
        <v>0</v>
      </c>
    </row>
    <row r="130" spans="1:5" ht="38.25" x14ac:dyDescent="0.25">
      <c r="A130" s="53">
        <v>9</v>
      </c>
      <c r="B130" s="54" t="s">
        <v>287</v>
      </c>
      <c r="C130" s="55">
        <v>170000</v>
      </c>
      <c r="E130" s="62">
        <f>COUNTIF(Hoja1!$C$9:$C$452,Hoja3!B130)</f>
        <v>0</v>
      </c>
    </row>
    <row r="131" spans="1:5" ht="38.25" x14ac:dyDescent="0.25">
      <c r="A131" s="53">
        <v>10</v>
      </c>
      <c r="B131" s="54" t="s">
        <v>288</v>
      </c>
      <c r="C131" s="55">
        <v>170000</v>
      </c>
      <c r="E131" s="62">
        <f>COUNTIF(Hoja1!$C$9:$C$452,Hoja3!B131)</f>
        <v>0</v>
      </c>
    </row>
    <row r="132" spans="1:5" ht="25.5" x14ac:dyDescent="0.25">
      <c r="A132" s="53">
        <v>2</v>
      </c>
      <c r="B132" s="54" t="s">
        <v>289</v>
      </c>
      <c r="C132" s="55">
        <v>139877.96</v>
      </c>
      <c r="E132" s="62">
        <f>COUNTIF(Hoja1!$C$9:$C$452,Hoja3!B132)</f>
        <v>1</v>
      </c>
    </row>
    <row r="133" spans="1:5" ht="38.25" x14ac:dyDescent="0.25">
      <c r="A133" s="53">
        <v>3</v>
      </c>
      <c r="B133" s="54" t="s">
        <v>290</v>
      </c>
      <c r="C133" s="55">
        <v>404594.35</v>
      </c>
      <c r="E133" s="62">
        <f>COUNTIF(Hoja1!$C$9:$C$452,Hoja3!B133)</f>
        <v>1</v>
      </c>
    </row>
    <row r="134" spans="1:5" ht="25.5" x14ac:dyDescent="0.25">
      <c r="A134" s="53">
        <v>4</v>
      </c>
      <c r="B134" s="54" t="s">
        <v>291</v>
      </c>
      <c r="C134" s="55">
        <v>404594.35</v>
      </c>
      <c r="E134" s="62">
        <f>COUNTIF(Hoja1!$C$9:$C$452,Hoja3!B134)</f>
        <v>0</v>
      </c>
    </row>
    <row r="135" spans="1:5" ht="38.25" x14ac:dyDescent="0.25">
      <c r="A135" s="53">
        <v>5</v>
      </c>
      <c r="B135" s="54" t="s">
        <v>292</v>
      </c>
      <c r="C135" s="55">
        <v>404594.35</v>
      </c>
      <c r="E135" s="62">
        <f>COUNTIF(Hoja1!$C$9:$C$452,Hoja3!B135)</f>
        <v>1</v>
      </c>
    </row>
    <row r="136" spans="1:5" ht="25.5" x14ac:dyDescent="0.25">
      <c r="A136" s="53">
        <v>6</v>
      </c>
      <c r="B136" s="54" t="s">
        <v>293</v>
      </c>
      <c r="C136" s="55">
        <v>202297.19</v>
      </c>
      <c r="E136" s="62">
        <f>COUNTIF(Hoja1!$C$9:$C$452,Hoja3!B136)</f>
        <v>0</v>
      </c>
    </row>
    <row r="137" spans="1:5" ht="25.5" x14ac:dyDescent="0.25">
      <c r="A137" s="53">
        <v>7</v>
      </c>
      <c r="B137" s="54" t="s">
        <v>294</v>
      </c>
      <c r="C137" s="55">
        <v>404594.35</v>
      </c>
      <c r="E137" s="62">
        <f>COUNTIF(Hoja1!$C$9:$C$452,Hoja3!B137)</f>
        <v>0</v>
      </c>
    </row>
    <row r="138" spans="1:5" ht="25.5" x14ac:dyDescent="0.25">
      <c r="A138" s="53">
        <v>8</v>
      </c>
      <c r="B138" s="54" t="s">
        <v>295</v>
      </c>
      <c r="C138" s="55">
        <v>404594.35</v>
      </c>
      <c r="E138" s="62">
        <f>COUNTIF(Hoja1!$C$9:$C$452,Hoja3!B138)</f>
        <v>0</v>
      </c>
    </row>
    <row r="139" spans="1:5" ht="25.5" x14ac:dyDescent="0.25">
      <c r="A139" s="53">
        <v>9</v>
      </c>
      <c r="B139" s="54" t="s">
        <v>296</v>
      </c>
      <c r="C139" s="55">
        <v>202297.19</v>
      </c>
      <c r="E139" s="62">
        <f>COUNTIF(Hoja1!$C$9:$C$452,Hoja3!B139)</f>
        <v>0</v>
      </c>
    </row>
    <row r="140" spans="1:5" ht="25.5" x14ac:dyDescent="0.25">
      <c r="A140" s="53">
        <v>10</v>
      </c>
      <c r="B140" s="54" t="s">
        <v>297</v>
      </c>
      <c r="C140" s="55">
        <v>101148.6</v>
      </c>
      <c r="E140" s="62">
        <f>COUNTIF(Hoja1!$C$9:$C$452,Hoja3!B140)</f>
        <v>0</v>
      </c>
    </row>
    <row r="141" spans="1:5" ht="38.25" x14ac:dyDescent="0.25">
      <c r="A141" s="53">
        <v>11</v>
      </c>
      <c r="B141" s="54" t="s">
        <v>298</v>
      </c>
      <c r="C141" s="55">
        <v>2707.9</v>
      </c>
      <c r="E141" s="62">
        <f>COUNTIF(Hoja1!$C$9:$C$452,Hoja3!B141)</f>
        <v>0</v>
      </c>
    </row>
    <row r="142" spans="1:5" ht="25.5" x14ac:dyDescent="0.25">
      <c r="A142" s="53">
        <v>1</v>
      </c>
      <c r="B142" s="54" t="s">
        <v>137</v>
      </c>
      <c r="C142" s="55">
        <v>14393.299999999988</v>
      </c>
      <c r="E142" s="62">
        <f>COUNTIF(Hoja1!$C$9:$C$452,Hoja3!B142)</f>
        <v>0</v>
      </c>
    </row>
    <row r="143" spans="1:5" ht="38.25" x14ac:dyDescent="0.25">
      <c r="A143" s="53">
        <v>2</v>
      </c>
      <c r="B143" s="54" t="s">
        <v>299</v>
      </c>
      <c r="C143" s="55">
        <v>89880</v>
      </c>
      <c r="E143" s="62">
        <f>COUNTIF(Hoja1!$C$9:$C$452,Hoja3!B143)</f>
        <v>0</v>
      </c>
    </row>
    <row r="144" spans="1:5" ht="25.5" x14ac:dyDescent="0.25">
      <c r="A144" s="53">
        <v>3</v>
      </c>
      <c r="B144" s="54" t="s">
        <v>300</v>
      </c>
      <c r="C144" s="55">
        <v>179759.96</v>
      </c>
      <c r="E144" s="62">
        <f>COUNTIF(Hoja1!$C$9:$C$452,Hoja3!B144)</f>
        <v>0</v>
      </c>
    </row>
    <row r="145" spans="1:5" ht="25.5" x14ac:dyDescent="0.25">
      <c r="A145" s="53">
        <v>4</v>
      </c>
      <c r="B145" s="54" t="s">
        <v>301</v>
      </c>
      <c r="C145" s="55">
        <v>89880</v>
      </c>
      <c r="E145" s="62">
        <f>COUNTIF(Hoja1!$C$9:$C$452,Hoja3!B145)</f>
        <v>1</v>
      </c>
    </row>
    <row r="146" spans="1:5" ht="38.25" x14ac:dyDescent="0.25">
      <c r="A146" s="53">
        <v>5</v>
      </c>
      <c r="B146" s="54" t="s">
        <v>302</v>
      </c>
      <c r="C146" s="55">
        <v>449399.93</v>
      </c>
      <c r="E146" s="62">
        <f>COUNTIF(Hoja1!$C$9:$C$452,Hoja3!B146)</f>
        <v>0</v>
      </c>
    </row>
    <row r="147" spans="1:5" ht="38.25" x14ac:dyDescent="0.25">
      <c r="A147" s="53">
        <v>6</v>
      </c>
      <c r="B147" s="54" t="s">
        <v>303</v>
      </c>
      <c r="C147" s="55">
        <v>89880</v>
      </c>
      <c r="E147" s="62">
        <f>COUNTIF(Hoja1!$C$9:$C$452,Hoja3!B147)</f>
        <v>0</v>
      </c>
    </row>
    <row r="148" spans="1:5" ht="38.25" x14ac:dyDescent="0.25">
      <c r="A148" s="53">
        <v>1</v>
      </c>
      <c r="B148" s="54" t="s">
        <v>138</v>
      </c>
      <c r="C148" s="55">
        <v>1158798.8899999999</v>
      </c>
      <c r="E148" s="62">
        <f>COUNTIF(Hoja1!$C$9:$C$452,Hoja3!B148)</f>
        <v>0</v>
      </c>
    </row>
    <row r="149" spans="1:5" ht="51" x14ac:dyDescent="0.25">
      <c r="A149" s="53">
        <v>2</v>
      </c>
      <c r="B149" s="54" t="s">
        <v>139</v>
      </c>
      <c r="C149" s="55">
        <v>2230489.56</v>
      </c>
      <c r="E149" s="62">
        <f>COUNTIF(Hoja1!$C$9:$C$452,Hoja3!B149)</f>
        <v>0</v>
      </c>
    </row>
    <row r="150" spans="1:5" ht="51" x14ac:dyDescent="0.25">
      <c r="A150" s="53">
        <v>3</v>
      </c>
      <c r="B150" s="54" t="s">
        <v>140</v>
      </c>
      <c r="C150" s="55">
        <v>1930489.56</v>
      </c>
      <c r="E150" s="62">
        <f>COUNTIF(Hoja1!$C$9:$C$452,Hoja3!B150)</f>
        <v>0</v>
      </c>
    </row>
    <row r="151" spans="1:5" ht="51" x14ac:dyDescent="0.25">
      <c r="A151" s="53">
        <v>4</v>
      </c>
      <c r="B151" s="54" t="s">
        <v>141</v>
      </c>
      <c r="C151" s="55">
        <v>1000000</v>
      </c>
      <c r="E151" s="62">
        <f>COUNTIF(Hoja1!$C$9:$C$452,Hoja3!B151)</f>
        <v>0</v>
      </c>
    </row>
    <row r="152" spans="1:5" ht="38.25" x14ac:dyDescent="0.25">
      <c r="A152" s="53">
        <v>5</v>
      </c>
      <c r="B152" s="54" t="s">
        <v>142</v>
      </c>
      <c r="C152" s="55">
        <v>300000</v>
      </c>
      <c r="E152" s="62">
        <f>COUNTIF(Hoja1!$C$9:$C$452,Hoja3!B152)</f>
        <v>0</v>
      </c>
    </row>
    <row r="153" spans="1:5" ht="38.25" x14ac:dyDescent="0.25">
      <c r="A153" s="53">
        <v>6</v>
      </c>
      <c r="B153" s="54" t="s">
        <v>143</v>
      </c>
      <c r="C153" s="55">
        <v>1500000</v>
      </c>
      <c r="E153" s="62">
        <f>COUNTIF(Hoja1!$C$9:$C$452,Hoja3!B153)</f>
        <v>0</v>
      </c>
    </row>
    <row r="154" spans="1:5" ht="38.25" x14ac:dyDescent="0.25">
      <c r="A154" s="53">
        <v>7</v>
      </c>
      <c r="B154" s="54" t="s">
        <v>144</v>
      </c>
      <c r="C154" s="55">
        <v>850000</v>
      </c>
      <c r="E154" s="62">
        <f>COUNTIF(Hoja1!$C$9:$C$452,Hoja3!B154)</f>
        <v>0</v>
      </c>
    </row>
    <row r="155" spans="1:5" ht="38.25" x14ac:dyDescent="0.25">
      <c r="A155" s="53">
        <v>8</v>
      </c>
      <c r="B155" s="54" t="s">
        <v>145</v>
      </c>
      <c r="C155" s="55">
        <v>695032.62</v>
      </c>
      <c r="E155" s="62">
        <f>COUNTIF(Hoja1!$C$9:$C$452,Hoja3!B155)</f>
        <v>0</v>
      </c>
    </row>
    <row r="156" spans="1:5" ht="38.25" x14ac:dyDescent="0.25">
      <c r="A156" s="53">
        <v>9</v>
      </c>
      <c r="B156" s="54" t="s">
        <v>146</v>
      </c>
      <c r="C156" s="55">
        <v>2230489.56</v>
      </c>
      <c r="E156" s="62">
        <f>COUNTIF(Hoja1!$C$9:$C$452,Hoja3!B156)</f>
        <v>0</v>
      </c>
    </row>
    <row r="157" spans="1:5" ht="38.25" x14ac:dyDescent="0.25">
      <c r="A157" s="53">
        <v>10</v>
      </c>
      <c r="B157" s="54" t="s">
        <v>147</v>
      </c>
      <c r="C157" s="55">
        <v>550000</v>
      </c>
      <c r="E157" s="62">
        <f>COUNTIF(Hoja1!$C$9:$C$452,Hoja3!B157)</f>
        <v>0</v>
      </c>
    </row>
    <row r="158" spans="1:5" ht="38.25" x14ac:dyDescent="0.25">
      <c r="A158" s="53">
        <v>11</v>
      </c>
      <c r="B158" s="54" t="s">
        <v>148</v>
      </c>
      <c r="C158" s="55">
        <v>723180.63</v>
      </c>
      <c r="E158" s="62">
        <f>COUNTIF(Hoja1!$C$9:$C$452,Hoja3!B158)</f>
        <v>0</v>
      </c>
    </row>
    <row r="159" spans="1:5" ht="38.25" x14ac:dyDescent="0.25">
      <c r="A159" s="53">
        <v>12</v>
      </c>
      <c r="B159" s="56" t="s">
        <v>149</v>
      </c>
      <c r="C159" s="57">
        <v>900000</v>
      </c>
      <c r="E159" s="62">
        <f>COUNTIF(Hoja1!$C$9:$C$452,Hoja3!B159)</f>
        <v>0</v>
      </c>
    </row>
    <row r="160" spans="1:5" ht="38.25" x14ac:dyDescent="0.25">
      <c r="A160" s="53">
        <v>1</v>
      </c>
      <c r="B160" s="54" t="s">
        <v>150</v>
      </c>
      <c r="C160" s="55">
        <v>1490841.88</v>
      </c>
      <c r="E160" s="62">
        <f>COUNTIF(Hoja1!$C$9:$C$452,Hoja3!B160)</f>
        <v>0</v>
      </c>
    </row>
    <row r="161" spans="1:13" ht="38.25" x14ac:dyDescent="0.25">
      <c r="A161" s="53">
        <v>2</v>
      </c>
      <c r="B161" s="54" t="s">
        <v>151</v>
      </c>
      <c r="C161" s="55">
        <v>142789.46999999974</v>
      </c>
      <c r="E161" s="62">
        <f>COUNTIF(Hoja1!$C$9:$C$452,Hoja3!B161)</f>
        <v>0</v>
      </c>
    </row>
    <row r="162" spans="1:13" ht="25.5" x14ac:dyDescent="0.25">
      <c r="A162" s="53">
        <v>3</v>
      </c>
      <c r="B162" s="54" t="s">
        <v>152</v>
      </c>
      <c r="C162" s="55">
        <v>168010.77</v>
      </c>
      <c r="E162" s="62">
        <f>COUNTIF(Hoja1!$C$9:$C$452,Hoja3!B162)</f>
        <v>0</v>
      </c>
    </row>
    <row r="163" spans="1:13" ht="38.25" x14ac:dyDescent="0.25">
      <c r="A163" s="53">
        <v>4</v>
      </c>
      <c r="B163" s="54" t="s">
        <v>153</v>
      </c>
      <c r="C163" s="55">
        <v>11264.010000000009</v>
      </c>
      <c r="E163" s="62">
        <f>COUNTIF(Hoja1!$C$9:$C$452,Hoja3!B163)</f>
        <v>0</v>
      </c>
    </row>
    <row r="164" spans="1:13" ht="38.25" x14ac:dyDescent="0.25">
      <c r="A164" s="53">
        <v>5</v>
      </c>
      <c r="B164" s="54" t="s">
        <v>154</v>
      </c>
      <c r="C164" s="55">
        <v>702406.26</v>
      </c>
      <c r="E164" s="62">
        <f>COUNTIF(Hoja1!$C$9:$C$452,Hoja3!B164)</f>
        <v>0</v>
      </c>
    </row>
    <row r="165" spans="1:13" ht="51" x14ac:dyDescent="0.25">
      <c r="A165" s="53">
        <v>6</v>
      </c>
      <c r="B165" s="54" t="s">
        <v>155</v>
      </c>
      <c r="C165" s="55">
        <v>4000000</v>
      </c>
      <c r="E165" s="62">
        <f>COUNTIF(Hoja1!$C$9:$C$452,Hoja3!B165)</f>
        <v>0</v>
      </c>
      <c r="M165" s="55" t="s">
        <v>312</v>
      </c>
    </row>
    <row r="166" spans="1:13" ht="51" x14ac:dyDescent="0.25">
      <c r="A166" s="53">
        <v>7</v>
      </c>
      <c r="B166" s="54" t="s">
        <v>156</v>
      </c>
      <c r="C166" s="55">
        <v>3000000</v>
      </c>
      <c r="E166" s="62">
        <f>COUNTIF(Hoja1!$C$9:$C$452,Hoja3!B166)</f>
        <v>0</v>
      </c>
    </row>
    <row r="167" spans="1:13" ht="38.25" x14ac:dyDescent="0.25">
      <c r="A167" s="53">
        <v>8</v>
      </c>
      <c r="B167" s="54" t="s">
        <v>157</v>
      </c>
      <c r="C167" s="55">
        <v>6900000</v>
      </c>
      <c r="E167" s="62">
        <f>COUNTIF(Hoja1!$C$9:$C$452,Hoja3!B167)</f>
        <v>0</v>
      </c>
    </row>
    <row r="168" spans="1:13" ht="38.25" x14ac:dyDescent="0.25">
      <c r="A168" s="53">
        <v>11</v>
      </c>
      <c r="B168" s="54" t="s">
        <v>158</v>
      </c>
      <c r="C168" s="55">
        <v>2745290.35</v>
      </c>
      <c r="E168" s="62">
        <f>COUNTIF(Hoja1!$C$9:$C$452,Hoja3!B168)</f>
        <v>0</v>
      </c>
    </row>
    <row r="169" spans="1:13" ht="38.25" x14ac:dyDescent="0.25">
      <c r="A169" s="53">
        <v>12</v>
      </c>
      <c r="B169" s="54" t="s">
        <v>159</v>
      </c>
      <c r="C169" s="55">
        <v>1800000</v>
      </c>
      <c r="E169" s="62">
        <f>COUNTIF(Hoja1!$C$9:$C$452,Hoja3!B169)</f>
        <v>0</v>
      </c>
    </row>
    <row r="170" spans="1:13" ht="38.25" x14ac:dyDescent="0.25">
      <c r="A170" s="53">
        <v>13</v>
      </c>
      <c r="B170" s="54" t="s">
        <v>160</v>
      </c>
      <c r="C170" s="55">
        <v>3000000</v>
      </c>
      <c r="E170" s="62">
        <f>COUNTIF(Hoja1!$C$9:$C$452,Hoja3!B170)</f>
        <v>0</v>
      </c>
    </row>
    <row r="171" spans="1:13" ht="38.25" x14ac:dyDescent="0.25">
      <c r="A171" s="53">
        <v>14</v>
      </c>
      <c r="B171" s="54" t="s">
        <v>161</v>
      </c>
      <c r="C171" s="55">
        <v>136194.82</v>
      </c>
      <c r="E171" s="62">
        <f>COUNTIF(Hoja1!$C$9:$C$452,Hoja3!B171)</f>
        <v>0</v>
      </c>
    </row>
    <row r="172" spans="1:13" ht="51" x14ac:dyDescent="0.25">
      <c r="A172" s="53">
        <v>15</v>
      </c>
      <c r="B172" s="54" t="s">
        <v>162</v>
      </c>
      <c r="C172" s="55">
        <v>176342.71</v>
      </c>
      <c r="E172" s="62">
        <f>COUNTIF(Hoja1!$C$9:$C$452,Hoja3!B172)</f>
        <v>0</v>
      </c>
    </row>
    <row r="173" spans="1:13" ht="38.25" x14ac:dyDescent="0.25">
      <c r="A173" s="53">
        <v>16</v>
      </c>
      <c r="B173" s="54" t="s">
        <v>163</v>
      </c>
      <c r="C173" s="55">
        <v>125156.17</v>
      </c>
      <c r="E173" s="62">
        <f>COUNTIF(Hoja1!$C$9:$C$452,Hoja3!B173)</f>
        <v>0</v>
      </c>
    </row>
    <row r="174" spans="1:13" ht="38.25" x14ac:dyDescent="0.25">
      <c r="A174" s="53">
        <v>17</v>
      </c>
      <c r="B174" s="54" t="s">
        <v>164</v>
      </c>
      <c r="C174" s="55">
        <v>340723.97</v>
      </c>
      <c r="E174" s="62">
        <f>COUNTIF(Hoja1!$C$9:$C$452,Hoja3!B174)</f>
        <v>0</v>
      </c>
    </row>
    <row r="175" spans="1:13" ht="38.25" x14ac:dyDescent="0.25">
      <c r="A175" s="53">
        <v>18</v>
      </c>
      <c r="B175" s="54" t="s">
        <v>165</v>
      </c>
      <c r="C175" s="55">
        <v>303850.99</v>
      </c>
      <c r="E175" s="62">
        <f>COUNTIF(Hoja1!$C$9:$C$452,Hoja3!B175)</f>
        <v>0</v>
      </c>
    </row>
    <row r="176" spans="1:13" ht="38.25" x14ac:dyDescent="0.25">
      <c r="A176" s="53">
        <v>19</v>
      </c>
      <c r="B176" s="54" t="s">
        <v>166</v>
      </c>
      <c r="C176" s="55">
        <v>128448.73</v>
      </c>
      <c r="E176" s="62">
        <f>COUNTIF(Hoja1!$C$9:$C$452,Hoja3!B176)</f>
        <v>0</v>
      </c>
    </row>
    <row r="177" spans="1:5" ht="38.25" x14ac:dyDescent="0.25">
      <c r="A177" s="53">
        <v>20</v>
      </c>
      <c r="B177" s="54" t="s">
        <v>167</v>
      </c>
      <c r="C177" s="55">
        <v>134835.89000000001</v>
      </c>
      <c r="E177" s="62">
        <f>COUNTIF(Hoja1!$C$9:$C$452,Hoja3!B177)</f>
        <v>0</v>
      </c>
    </row>
    <row r="178" spans="1:5" ht="38.25" x14ac:dyDescent="0.25">
      <c r="A178" s="53">
        <v>21</v>
      </c>
      <c r="B178" s="54" t="s">
        <v>168</v>
      </c>
      <c r="C178" s="55">
        <v>168302.47</v>
      </c>
      <c r="E178" s="62">
        <f>COUNTIF(Hoja1!$C$9:$C$452,Hoja3!B178)</f>
        <v>0</v>
      </c>
    </row>
    <row r="179" spans="1:5" ht="51" x14ac:dyDescent="0.25">
      <c r="A179" s="53">
        <v>22</v>
      </c>
      <c r="B179" s="54" t="s">
        <v>169</v>
      </c>
      <c r="C179" s="55">
        <v>169979.91</v>
      </c>
      <c r="E179" s="62">
        <f>COUNTIF(Hoja1!$C$9:$C$452,Hoja3!B179)</f>
        <v>0</v>
      </c>
    </row>
    <row r="180" spans="1:5" ht="38.25" x14ac:dyDescent="0.25">
      <c r="A180" s="53">
        <v>23</v>
      </c>
      <c r="B180" s="54" t="s">
        <v>170</v>
      </c>
      <c r="C180" s="55">
        <v>116086.3</v>
      </c>
      <c r="E180" s="62">
        <f>COUNTIF(Hoja1!$C$9:$C$452,Hoja3!B180)</f>
        <v>0</v>
      </c>
    </row>
    <row r="181" spans="1:5" ht="38.25" x14ac:dyDescent="0.25">
      <c r="A181" s="53">
        <v>24</v>
      </c>
      <c r="B181" s="54" t="s">
        <v>171</v>
      </c>
      <c r="C181" s="55">
        <v>128042.44</v>
      </c>
      <c r="E181" s="62">
        <f>COUNTIF(Hoja1!$C$9:$C$452,Hoja3!B181)</f>
        <v>0</v>
      </c>
    </row>
    <row r="182" spans="1:5" ht="51" x14ac:dyDescent="0.25">
      <c r="A182" s="53">
        <v>25</v>
      </c>
      <c r="B182" s="54" t="s">
        <v>172</v>
      </c>
      <c r="C182" s="55">
        <v>258037.59</v>
      </c>
      <c r="E182" s="62">
        <f>COUNTIF(Hoja1!$C$9:$C$452,Hoja3!B182)</f>
        <v>0</v>
      </c>
    </row>
    <row r="183" spans="1:5" ht="38.25" x14ac:dyDescent="0.25">
      <c r="A183" s="53">
        <v>26</v>
      </c>
      <c r="B183" s="54" t="s">
        <v>173</v>
      </c>
      <c r="C183" s="55">
        <v>14500000</v>
      </c>
      <c r="E183" s="62">
        <f>COUNTIF(Hoja1!$C$9:$C$452,Hoja3!B183)</f>
        <v>0</v>
      </c>
    </row>
    <row r="184" spans="1:5" ht="38.25" x14ac:dyDescent="0.25">
      <c r="A184" s="53">
        <v>27</v>
      </c>
      <c r="B184" s="54" t="s">
        <v>174</v>
      </c>
      <c r="C184" s="55">
        <v>4500000</v>
      </c>
      <c r="E184" s="62">
        <f>COUNTIF(Hoja1!$C$9:$C$452,Hoja3!B184)</f>
        <v>0</v>
      </c>
    </row>
    <row r="185" spans="1:5" ht="89.25" x14ac:dyDescent="0.25">
      <c r="A185" s="53">
        <v>29</v>
      </c>
      <c r="B185" s="54" t="s">
        <v>175</v>
      </c>
      <c r="C185" s="55">
        <v>2000000</v>
      </c>
      <c r="E185" s="63">
        <v>1</v>
      </c>
    </row>
    <row r="186" spans="1:5" ht="76.5" x14ac:dyDescent="0.25">
      <c r="A186" s="53">
        <v>31</v>
      </c>
      <c r="B186" s="54" t="s">
        <v>304</v>
      </c>
      <c r="C186" s="55">
        <v>1762945</v>
      </c>
      <c r="E186" s="63">
        <v>1</v>
      </c>
    </row>
    <row r="187" spans="1:5" ht="38.25" x14ac:dyDescent="0.25">
      <c r="A187" s="53">
        <v>32</v>
      </c>
      <c r="B187" s="54" t="s">
        <v>305</v>
      </c>
      <c r="C187" s="55">
        <v>435301</v>
      </c>
      <c r="E187" s="62">
        <f>COUNTIF(Hoja1!$C$9:$C$452,Hoja3!B187)</f>
        <v>0</v>
      </c>
    </row>
    <row r="188" spans="1:5" ht="63.75" x14ac:dyDescent="0.25">
      <c r="A188" s="53">
        <v>33</v>
      </c>
      <c r="B188" s="54" t="s">
        <v>306</v>
      </c>
      <c r="C188" s="55">
        <v>1404830.69</v>
      </c>
      <c r="E188" s="63">
        <v>1</v>
      </c>
    </row>
    <row r="189" spans="1:5" ht="38.25" x14ac:dyDescent="0.25">
      <c r="A189" s="53">
        <v>34</v>
      </c>
      <c r="B189" s="54" t="s">
        <v>307</v>
      </c>
      <c r="C189" s="55">
        <v>800065.31</v>
      </c>
      <c r="E189" s="62">
        <f>COUNTIF(Hoja1!$C$9:$C$452,Hoja3!B189)</f>
        <v>0</v>
      </c>
    </row>
    <row r="190" spans="1:5" ht="38.25" x14ac:dyDescent="0.25">
      <c r="A190" s="53">
        <v>35</v>
      </c>
      <c r="B190" s="54" t="s">
        <v>176</v>
      </c>
      <c r="C190" s="55">
        <v>691959</v>
      </c>
      <c r="E190" s="62">
        <f>COUNTIF(Hoja1!$C$9:$C$452,Hoja3!B190)</f>
        <v>0</v>
      </c>
    </row>
    <row r="191" spans="1:5" ht="38.25" x14ac:dyDescent="0.25">
      <c r="A191" s="53">
        <v>39</v>
      </c>
      <c r="B191" s="54" t="s">
        <v>177</v>
      </c>
      <c r="C191" s="55">
        <v>3151825.9499999997</v>
      </c>
      <c r="E191" s="62">
        <f>COUNTIF(Hoja1!$C$9:$C$452,Hoja3!B191)</f>
        <v>1</v>
      </c>
    </row>
    <row r="192" spans="1:5" ht="38.25" x14ac:dyDescent="0.25">
      <c r="A192" s="53">
        <v>40</v>
      </c>
      <c r="B192" s="54" t="s">
        <v>178</v>
      </c>
      <c r="C192" s="55">
        <v>3034474.15</v>
      </c>
      <c r="E192" s="62">
        <f>COUNTIF(Hoja1!$C$9:$C$452,Hoja3!B192)</f>
        <v>0</v>
      </c>
    </row>
    <row r="193" spans="1:5" ht="38.25" x14ac:dyDescent="0.25">
      <c r="A193" s="53">
        <v>42</v>
      </c>
      <c r="B193" s="54" t="s">
        <v>179</v>
      </c>
      <c r="C193" s="55">
        <v>2094827.91</v>
      </c>
      <c r="E193" s="62">
        <f>COUNTIF(Hoja1!$C$9:$C$452,Hoja3!B193)</f>
        <v>0</v>
      </c>
    </row>
    <row r="194" spans="1:5" ht="25.5" x14ac:dyDescent="0.25">
      <c r="A194" s="53">
        <v>43</v>
      </c>
      <c r="B194" s="54" t="s">
        <v>180</v>
      </c>
      <c r="C194" s="55">
        <v>75332.289999999994</v>
      </c>
      <c r="E194" s="62">
        <f>COUNTIF(Hoja1!$C$9:$C$452,Hoja3!B194)</f>
        <v>0</v>
      </c>
    </row>
    <row r="195" spans="1:5" ht="25.5" x14ac:dyDescent="0.25">
      <c r="A195" s="53">
        <v>44</v>
      </c>
      <c r="B195" s="54" t="s">
        <v>181</v>
      </c>
      <c r="C195" s="55">
        <v>137759.54</v>
      </c>
      <c r="E195" s="62">
        <f>COUNTIF(Hoja1!$C$9:$C$452,Hoja3!B195)</f>
        <v>0</v>
      </c>
    </row>
    <row r="196" spans="1:5" ht="38.25" x14ac:dyDescent="0.25">
      <c r="A196" s="53">
        <v>45</v>
      </c>
      <c r="B196" s="54" t="s">
        <v>182</v>
      </c>
      <c r="C196" s="55">
        <v>34547.65</v>
      </c>
      <c r="E196" s="62">
        <f>COUNTIF(Hoja1!$C$9:$C$452,Hoja3!B196)</f>
        <v>0</v>
      </c>
    </row>
    <row r="197" spans="1:5" ht="38.25" x14ac:dyDescent="0.25">
      <c r="A197" s="53">
        <v>46</v>
      </c>
      <c r="B197" s="54" t="s">
        <v>183</v>
      </c>
      <c r="C197" s="55">
        <v>127573.86</v>
      </c>
      <c r="E197" s="62">
        <f>COUNTIF(Hoja1!$C$9:$C$452,Hoja3!B197)</f>
        <v>0</v>
      </c>
    </row>
    <row r="198" spans="1:5" ht="38.25" x14ac:dyDescent="0.25">
      <c r="A198" s="53">
        <v>47</v>
      </c>
      <c r="B198" s="54" t="s">
        <v>184</v>
      </c>
      <c r="C198" s="55">
        <v>248733.84</v>
      </c>
      <c r="E198" s="62">
        <f>COUNTIF(Hoja1!$C$9:$C$452,Hoja3!B198)</f>
        <v>0</v>
      </c>
    </row>
    <row r="199" spans="1:5" ht="25.5" x14ac:dyDescent="0.25">
      <c r="A199" s="53">
        <v>48</v>
      </c>
      <c r="B199" s="54" t="s">
        <v>185</v>
      </c>
      <c r="C199" s="55">
        <v>74934.320000000007</v>
      </c>
      <c r="E199" s="62">
        <f>COUNTIF(Hoja1!$C$9:$C$452,Hoja3!B199)</f>
        <v>0</v>
      </c>
    </row>
    <row r="200" spans="1:5" ht="38.25" x14ac:dyDescent="0.25">
      <c r="A200" s="53">
        <v>49</v>
      </c>
      <c r="B200" s="54" t="s">
        <v>186</v>
      </c>
      <c r="C200" s="55">
        <v>57245.73</v>
      </c>
      <c r="E200" s="62">
        <f>COUNTIF(Hoja1!$C$9:$C$452,Hoja3!B200)</f>
        <v>0</v>
      </c>
    </row>
    <row r="201" spans="1:5" ht="38.25" x14ac:dyDescent="0.25">
      <c r="A201" s="53">
        <v>50</v>
      </c>
      <c r="B201" s="54" t="s">
        <v>187</v>
      </c>
      <c r="C201" s="55">
        <v>39147.01</v>
      </c>
      <c r="E201" s="62">
        <f>COUNTIF(Hoja1!$C$9:$C$452,Hoja3!B201)</f>
        <v>0</v>
      </c>
    </row>
    <row r="202" spans="1:5" ht="38.25" x14ac:dyDescent="0.25">
      <c r="A202" s="53">
        <v>51</v>
      </c>
      <c r="B202" s="54" t="s">
        <v>188</v>
      </c>
      <c r="C202" s="55">
        <v>110214.23</v>
      </c>
      <c r="E202" s="62">
        <f>COUNTIF(Hoja1!$C$9:$C$452,Hoja3!B202)</f>
        <v>0</v>
      </c>
    </row>
    <row r="203" spans="1:5" ht="38.25" x14ac:dyDescent="0.25">
      <c r="A203" s="53">
        <v>52</v>
      </c>
      <c r="B203" s="54" t="s">
        <v>189</v>
      </c>
      <c r="C203" s="55">
        <v>235549.52</v>
      </c>
      <c r="E203" s="62">
        <f>COUNTIF(Hoja1!$C$9:$C$452,Hoja3!B203)</f>
        <v>0</v>
      </c>
    </row>
    <row r="204" spans="1:5" ht="38.25" x14ac:dyDescent="0.25">
      <c r="A204" s="53">
        <v>53</v>
      </c>
      <c r="B204" s="54" t="s">
        <v>190</v>
      </c>
      <c r="C204" s="55">
        <v>230187.97</v>
      </c>
      <c r="E204" s="62">
        <f>COUNTIF(Hoja1!$C$9:$C$452,Hoja3!B204)</f>
        <v>0</v>
      </c>
    </row>
    <row r="205" spans="1:5" ht="38.25" x14ac:dyDescent="0.25">
      <c r="A205" s="53">
        <v>54</v>
      </c>
      <c r="B205" s="54" t="s">
        <v>191</v>
      </c>
      <c r="C205" s="55">
        <v>46206.04</v>
      </c>
      <c r="E205" s="62">
        <f>COUNTIF(Hoja1!$C$9:$C$452,Hoja3!B205)</f>
        <v>0</v>
      </c>
    </row>
    <row r="206" spans="1:5" ht="25.5" x14ac:dyDescent="0.25">
      <c r="A206" s="53">
        <v>55</v>
      </c>
      <c r="B206" s="54" t="s">
        <v>192</v>
      </c>
      <c r="C206" s="55">
        <v>97978.04</v>
      </c>
      <c r="E206" s="62">
        <f>COUNTIF(Hoja1!$C$9:$C$452,Hoja3!B206)</f>
        <v>0</v>
      </c>
    </row>
    <row r="207" spans="1:5" ht="38.25" x14ac:dyDescent="0.25">
      <c r="A207" s="53">
        <v>56</v>
      </c>
      <c r="B207" s="54" t="s">
        <v>193</v>
      </c>
      <c r="C207" s="55">
        <v>207197.92</v>
      </c>
      <c r="E207" s="62">
        <f>COUNTIF(Hoja1!$C$9:$C$452,Hoja3!B207)</f>
        <v>0</v>
      </c>
    </row>
    <row r="208" spans="1:5" ht="25.5" x14ac:dyDescent="0.25">
      <c r="A208" s="53">
        <v>57</v>
      </c>
      <c r="B208" s="54" t="s">
        <v>194</v>
      </c>
      <c r="C208" s="55">
        <v>98410.32</v>
      </c>
      <c r="E208" s="62">
        <f>COUNTIF(Hoja1!$C$9:$C$452,Hoja3!B208)</f>
        <v>0</v>
      </c>
    </row>
    <row r="209" spans="1:5" ht="38.25" x14ac:dyDescent="0.25">
      <c r="A209" s="53">
        <v>58</v>
      </c>
      <c r="B209" s="54" t="s">
        <v>195</v>
      </c>
      <c r="C209" s="55">
        <v>63794.05</v>
      </c>
      <c r="E209" s="62">
        <f>COUNTIF(Hoja1!$C$9:$C$452,Hoja3!B209)</f>
        <v>0</v>
      </c>
    </row>
    <row r="210" spans="1:5" ht="25.5" x14ac:dyDescent="0.25">
      <c r="A210" s="53">
        <v>59</v>
      </c>
      <c r="B210" s="54" t="s">
        <v>196</v>
      </c>
      <c r="C210" s="55">
        <v>179512.51</v>
      </c>
      <c r="E210" s="62">
        <f>COUNTIF(Hoja1!$C$9:$C$452,Hoja3!B210)</f>
        <v>0</v>
      </c>
    </row>
    <row r="211" spans="1:5" ht="25.5" x14ac:dyDescent="0.25">
      <c r="A211" s="53">
        <v>60</v>
      </c>
      <c r="B211" s="54" t="s">
        <v>197</v>
      </c>
      <c r="C211" s="55">
        <v>91864.53</v>
      </c>
      <c r="E211" s="62">
        <f>COUNTIF(Hoja1!$C$9:$C$452,Hoja3!B211)</f>
        <v>0</v>
      </c>
    </row>
    <row r="212" spans="1:5" ht="25.5" x14ac:dyDescent="0.25">
      <c r="A212" s="53">
        <v>61</v>
      </c>
      <c r="B212" s="54" t="s">
        <v>198</v>
      </c>
      <c r="C212" s="55">
        <v>85557.77</v>
      </c>
      <c r="E212" s="62">
        <f>COUNTIF(Hoja1!$C$9:$C$452,Hoja3!B212)</f>
        <v>0</v>
      </c>
    </row>
    <row r="213" spans="1:5" ht="25.5" x14ac:dyDescent="0.25">
      <c r="A213" s="53">
        <v>62</v>
      </c>
      <c r="B213" s="54" t="s">
        <v>199</v>
      </c>
      <c r="C213" s="55">
        <v>228069.54</v>
      </c>
      <c r="E213" s="62">
        <f>COUNTIF(Hoja1!$C$9:$C$452,Hoja3!B213)</f>
        <v>0</v>
      </c>
    </row>
    <row r="214" spans="1:5" ht="38.25" x14ac:dyDescent="0.25">
      <c r="A214" s="53">
        <v>63</v>
      </c>
      <c r="B214" s="54" t="s">
        <v>200</v>
      </c>
      <c r="C214" s="55">
        <v>589082.56999999995</v>
      </c>
      <c r="E214" s="62">
        <f>COUNTIF(Hoja1!$C$9:$C$452,Hoja3!B214)</f>
        <v>0</v>
      </c>
    </row>
    <row r="215" spans="1:5" ht="38.25" x14ac:dyDescent="0.25">
      <c r="A215" s="53">
        <v>64</v>
      </c>
      <c r="B215" s="54" t="s">
        <v>201</v>
      </c>
      <c r="C215" s="55">
        <v>246583.33</v>
      </c>
      <c r="E215" s="62">
        <f>COUNTIF(Hoja1!$C$9:$C$452,Hoja3!B215)</f>
        <v>0</v>
      </c>
    </row>
    <row r="216" spans="1:5" ht="76.5" x14ac:dyDescent="0.25">
      <c r="A216" s="53">
        <v>65</v>
      </c>
      <c r="B216" s="54" t="s">
        <v>202</v>
      </c>
      <c r="C216" s="55">
        <v>440000</v>
      </c>
      <c r="E216" s="63">
        <v>1</v>
      </c>
    </row>
    <row r="217" spans="1:5" ht="25.5" x14ac:dyDescent="0.25">
      <c r="A217" s="53">
        <v>66</v>
      </c>
      <c r="B217" s="54" t="s">
        <v>203</v>
      </c>
      <c r="C217" s="55">
        <v>350000</v>
      </c>
      <c r="E217" s="62">
        <f>COUNTIF(Hoja1!$C$9:$C$452,Hoja3!B217)</f>
        <v>0</v>
      </c>
    </row>
    <row r="218" spans="1:5" ht="38.25" x14ac:dyDescent="0.25">
      <c r="A218" s="53">
        <v>67</v>
      </c>
      <c r="B218" s="54" t="s">
        <v>204</v>
      </c>
      <c r="C218" s="55">
        <v>650000</v>
      </c>
      <c r="E218" s="62">
        <f>COUNTIF(Hoja1!$C$9:$C$452,Hoja3!B218)</f>
        <v>0</v>
      </c>
    </row>
    <row r="219" spans="1:5" ht="63.75" x14ac:dyDescent="0.25">
      <c r="A219" s="53">
        <v>68</v>
      </c>
      <c r="B219" s="54" t="s">
        <v>205</v>
      </c>
      <c r="C219" s="55">
        <v>1354683.89</v>
      </c>
      <c r="E219" s="62">
        <f>COUNTIF(Hoja1!$C$9:$C$452,Hoja3!B219)</f>
        <v>0</v>
      </c>
    </row>
    <row r="220" spans="1:5" ht="51" x14ac:dyDescent="0.25">
      <c r="A220" s="53">
        <v>69</v>
      </c>
      <c r="B220" s="54" t="s">
        <v>206</v>
      </c>
      <c r="C220" s="55">
        <v>2415723.7800000003</v>
      </c>
      <c r="E220" s="62">
        <f>COUNTIF(Hoja1!$C$9:$C$452,Hoja3!B220)</f>
        <v>0</v>
      </c>
    </row>
    <row r="221" spans="1:5" ht="51" x14ac:dyDescent="0.25">
      <c r="A221" s="53">
        <v>70</v>
      </c>
      <c r="B221" s="54" t="s">
        <v>207</v>
      </c>
      <c r="C221" s="55">
        <v>2700000</v>
      </c>
      <c r="E221" s="62">
        <f>COUNTIF(Hoja1!$C$9:$C$452,Hoja3!B221)</f>
        <v>0</v>
      </c>
    </row>
    <row r="222" spans="1:5" ht="38.25" x14ac:dyDescent="0.25">
      <c r="A222" s="53">
        <v>72</v>
      </c>
      <c r="B222" s="54" t="s">
        <v>208</v>
      </c>
      <c r="C222" s="55">
        <v>2000000</v>
      </c>
      <c r="E222" s="62">
        <f>COUNTIF(Hoja1!$C$9:$C$452,Hoja3!B222)</f>
        <v>0</v>
      </c>
    </row>
    <row r="223" spans="1:5" ht="25.5" x14ac:dyDescent="0.25">
      <c r="A223" s="58">
        <v>8</v>
      </c>
      <c r="B223" s="59" t="s">
        <v>209</v>
      </c>
      <c r="C223" s="57">
        <v>308508.29000000004</v>
      </c>
      <c r="E223" s="62">
        <f>COUNTIF(Hoja1!$C$9:$C$452,Hoja3!B223)</f>
        <v>0</v>
      </c>
    </row>
    <row r="224" spans="1:5" ht="51" x14ac:dyDescent="0.25">
      <c r="A224" s="58">
        <v>1</v>
      </c>
      <c r="B224" s="59" t="s">
        <v>308</v>
      </c>
      <c r="C224" s="57">
        <v>83333.33</v>
      </c>
      <c r="E224" s="62">
        <f>COUNTIF(Hoja1!$C$9:$C$452,Hoja3!B224)</f>
        <v>0</v>
      </c>
    </row>
    <row r="225" spans="1:5" ht="51" x14ac:dyDescent="0.25">
      <c r="A225" s="58">
        <v>3</v>
      </c>
      <c r="B225" s="59" t="s">
        <v>309</v>
      </c>
      <c r="C225" s="57">
        <v>483310.41</v>
      </c>
      <c r="E225" s="62">
        <f>COUNTIF(Hoja1!$C$9:$C$452,Hoja3!B225)</f>
        <v>0</v>
      </c>
    </row>
    <row r="226" spans="1:5" ht="51" x14ac:dyDescent="0.25">
      <c r="A226" s="58">
        <v>1</v>
      </c>
      <c r="B226" s="59" t="s">
        <v>310</v>
      </c>
      <c r="C226" s="57">
        <v>100000</v>
      </c>
      <c r="E226" s="62">
        <f>COUNTIF(Hoja1!$C$9:$C$452,Hoja3!B226)</f>
        <v>0</v>
      </c>
    </row>
    <row r="227" spans="1:5" ht="51" x14ac:dyDescent="0.25">
      <c r="A227" s="58">
        <v>2</v>
      </c>
      <c r="B227" s="59" t="s">
        <v>311</v>
      </c>
      <c r="C227" s="57">
        <v>100000</v>
      </c>
      <c r="E227" s="62">
        <f>COUNTIF(Hoja1!$C$9:$C$452,Hoja3!B227)</f>
        <v>0</v>
      </c>
    </row>
    <row r="228" spans="1:5" ht="51" x14ac:dyDescent="0.25">
      <c r="A228" s="58">
        <v>3</v>
      </c>
      <c r="B228" s="59" t="s">
        <v>309</v>
      </c>
      <c r="C228" s="57">
        <v>100000</v>
      </c>
      <c r="E228" s="62">
        <f>COUNTIF(Hoja1!$C$9:$C$452,Hoja3!B228)</f>
        <v>0</v>
      </c>
    </row>
    <row r="229" spans="1:5" ht="25.5" x14ac:dyDescent="0.25">
      <c r="A229" s="53">
        <v>1</v>
      </c>
      <c r="B229" s="54" t="s">
        <v>210</v>
      </c>
      <c r="C229" s="55">
        <v>107112.30000000029</v>
      </c>
      <c r="E229" s="62">
        <f>COUNTIF(Hoja1!$C$9:$C$452,Hoja3!B229)</f>
        <v>0</v>
      </c>
    </row>
    <row r="230" spans="1:5" ht="38.25" x14ac:dyDescent="0.25">
      <c r="A230" s="53">
        <v>2</v>
      </c>
      <c r="B230" s="54" t="s">
        <v>211</v>
      </c>
      <c r="C230" s="55">
        <v>1000000</v>
      </c>
      <c r="E230" s="62">
        <f>COUNTIF(Hoja1!$C$9:$C$452,Hoja3!B230)</f>
        <v>0</v>
      </c>
    </row>
    <row r="231" spans="1:5" ht="38.25" x14ac:dyDescent="0.25">
      <c r="A231" s="53">
        <v>4</v>
      </c>
      <c r="B231" s="54" t="s">
        <v>212</v>
      </c>
      <c r="C231" s="55">
        <v>1025236.96</v>
      </c>
      <c r="E231" s="62">
        <f>COUNTIF(Hoja1!$C$9:$C$452,Hoja3!B231)</f>
        <v>0</v>
      </c>
    </row>
    <row r="232" spans="1:5" ht="38.25" x14ac:dyDescent="0.25">
      <c r="A232" s="53">
        <v>5</v>
      </c>
      <c r="B232" s="54" t="s">
        <v>213</v>
      </c>
      <c r="C232" s="55">
        <v>2000000</v>
      </c>
      <c r="E232" s="62">
        <f>COUNTIF(Hoja1!$C$9:$C$452,Hoja3!B232)</f>
        <v>0</v>
      </c>
    </row>
    <row r="233" spans="1:5" ht="51" x14ac:dyDescent="0.25">
      <c r="A233" s="53">
        <v>8</v>
      </c>
      <c r="B233" s="54" t="s">
        <v>214</v>
      </c>
      <c r="C233" s="55">
        <v>1000000</v>
      </c>
      <c r="E233" s="62">
        <f>COUNTIF(Hoja1!$C$9:$C$452,Hoja3!B233)</f>
        <v>0</v>
      </c>
    </row>
    <row r="234" spans="1:5" ht="38.25" x14ac:dyDescent="0.25">
      <c r="A234" s="53">
        <v>10</v>
      </c>
      <c r="B234" s="54" t="s">
        <v>215</v>
      </c>
      <c r="C234" s="55">
        <v>1500000</v>
      </c>
      <c r="E234" s="62">
        <f>COUNTIF(Hoja1!$C$9:$C$452,Hoja3!B234)</f>
        <v>0</v>
      </c>
    </row>
    <row r="235" spans="1:5" ht="38.25" x14ac:dyDescent="0.25">
      <c r="A235" s="53">
        <v>12</v>
      </c>
      <c r="B235" s="54" t="s">
        <v>216</v>
      </c>
      <c r="C235" s="55">
        <v>1971502.18</v>
      </c>
      <c r="E235" s="62">
        <f>COUNTIF(Hoja1!$C$9:$C$452,Hoja3!B235)</f>
        <v>0</v>
      </c>
    </row>
    <row r="236" spans="1:5" ht="38.25" x14ac:dyDescent="0.25">
      <c r="A236" s="53">
        <v>1</v>
      </c>
      <c r="B236" s="54" t="s">
        <v>217</v>
      </c>
      <c r="C236" s="55">
        <v>1896742.6999999997</v>
      </c>
      <c r="E236" s="62">
        <f>COUNTIF(Hoja1!$C$9:$C$452,Hoja3!B236)</f>
        <v>0</v>
      </c>
    </row>
    <row r="237" spans="1:5" ht="38.25" x14ac:dyDescent="0.25">
      <c r="A237" s="53">
        <v>2</v>
      </c>
      <c r="B237" s="54" t="s">
        <v>218</v>
      </c>
      <c r="C237" s="55">
        <v>1500000</v>
      </c>
      <c r="E237" s="62">
        <f>COUNTIF(Hoja1!$C$9:$C$452,Hoja3!B237)</f>
        <v>0</v>
      </c>
    </row>
  </sheetData>
  <autoFilter ref="A5:N23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9"/>
  <sheetViews>
    <sheetView workbookViewId="0">
      <pane xSplit="4" ySplit="5" topLeftCell="E15" activePane="bottomRight" state="frozen"/>
      <selection pane="topRight" activeCell="E1" sqref="E1"/>
      <selection pane="bottomLeft" activeCell="A6" sqref="A6"/>
      <selection pane="bottomRight" activeCell="C3" sqref="C3"/>
    </sheetView>
  </sheetViews>
  <sheetFormatPr baseColWidth="10" defaultRowHeight="15" x14ac:dyDescent="0.25"/>
  <cols>
    <col min="1" max="1" width="11.42578125" style="60"/>
    <col min="2" max="2" width="34.5703125" style="60" customWidth="1"/>
    <col min="3" max="4" width="11.42578125" style="60"/>
    <col min="5" max="6" width="11.85546875" style="60" bestFit="1" customWidth="1"/>
    <col min="7" max="16384" width="11.42578125" style="60"/>
  </cols>
  <sheetData>
    <row r="3" spans="1:13" x14ac:dyDescent="0.25">
      <c r="C3" s="55">
        <f>SUBTOTAL(9,C5:C238)</f>
        <v>3724786.12</v>
      </c>
    </row>
    <row r="5" spans="1:13" ht="38.25" x14ac:dyDescent="0.25">
      <c r="A5" s="50" t="s">
        <v>224</v>
      </c>
      <c r="B5" s="51" t="s">
        <v>225</v>
      </c>
      <c r="C5" s="52" t="s">
        <v>324</v>
      </c>
    </row>
    <row r="6" spans="1:13" ht="63.75" x14ac:dyDescent="0.25">
      <c r="A6" s="53">
        <v>1</v>
      </c>
      <c r="B6" s="54" t="s">
        <v>74</v>
      </c>
      <c r="C6" s="55">
        <v>483786.12000000005</v>
      </c>
      <c r="E6" s="60" t="b">
        <f>EXACT(B6,Hoja1!C433)</f>
        <v>0</v>
      </c>
      <c r="F6" s="60" t="b">
        <f>EXACT(C6,Hoja1!D433)</f>
        <v>0</v>
      </c>
      <c r="M6" s="60" t="s">
        <v>312</v>
      </c>
    </row>
    <row r="7" spans="1:13" ht="51" x14ac:dyDescent="0.25">
      <c r="A7" s="53">
        <v>3</v>
      </c>
      <c r="B7" s="54" t="s">
        <v>75</v>
      </c>
      <c r="C7" s="55">
        <v>200000</v>
      </c>
      <c r="E7" s="60" t="b">
        <f>EXACT(B7,Hoja1!C434)</f>
        <v>0</v>
      </c>
      <c r="F7" s="60" t="b">
        <f>EXACT(C7,Hoja1!D434)</f>
        <v>0</v>
      </c>
    </row>
    <row r="8" spans="1:13" ht="38.25" x14ac:dyDescent="0.25">
      <c r="A8" s="53">
        <v>4</v>
      </c>
      <c r="B8" s="54" t="s">
        <v>76</v>
      </c>
      <c r="C8" s="55">
        <v>300000</v>
      </c>
      <c r="E8" s="60" t="b">
        <f>EXACT(B8,Hoja1!C435)</f>
        <v>0</v>
      </c>
      <c r="F8" s="60" t="b">
        <f>EXACT(C8,Hoja1!D435)</f>
        <v>0</v>
      </c>
    </row>
    <row r="9" spans="1:13" ht="51" x14ac:dyDescent="0.25">
      <c r="A9" s="53">
        <v>5</v>
      </c>
      <c r="B9" s="54" t="s">
        <v>77</v>
      </c>
      <c r="C9" s="55">
        <v>100000</v>
      </c>
      <c r="E9" s="60" t="b">
        <f>EXACT(B9,Hoja1!C436)</f>
        <v>0</v>
      </c>
      <c r="F9" s="60" t="b">
        <f>EXACT(C9,Hoja1!D436)</f>
        <v>0</v>
      </c>
    </row>
    <row r="10" spans="1:13" ht="89.25" x14ac:dyDescent="0.25">
      <c r="A10" s="53">
        <v>6</v>
      </c>
      <c r="B10" s="54" t="s">
        <v>78</v>
      </c>
      <c r="C10" s="55">
        <v>400000</v>
      </c>
      <c r="E10" s="60" t="b">
        <f>EXACT(B10,Hoja1!C437)</f>
        <v>0</v>
      </c>
      <c r="F10" s="60" t="b">
        <f>EXACT(C10,Hoja1!D437)</f>
        <v>0</v>
      </c>
    </row>
    <row r="11" spans="1:13" ht="38.25" x14ac:dyDescent="0.25">
      <c r="A11" s="53">
        <v>7</v>
      </c>
      <c r="B11" s="54" t="s">
        <v>79</v>
      </c>
      <c r="C11" s="55">
        <v>450000</v>
      </c>
      <c r="E11" s="60" t="b">
        <f>EXACT(B11,Hoja1!C438)</f>
        <v>0</v>
      </c>
      <c r="F11" s="60" t="b">
        <f>EXACT(C11,Hoja1!D438)</f>
        <v>0</v>
      </c>
    </row>
    <row r="12" spans="1:13" ht="38.25" x14ac:dyDescent="0.25">
      <c r="A12" s="53">
        <v>8</v>
      </c>
      <c r="B12" s="54" t="s">
        <v>80</v>
      </c>
      <c r="C12" s="55">
        <v>500000</v>
      </c>
      <c r="E12" s="60" t="b">
        <f>EXACT(B12,Hoja1!C439)</f>
        <v>0</v>
      </c>
      <c r="F12" s="60" t="b">
        <f>EXACT(C12,Hoja1!D439)</f>
        <v>0</v>
      </c>
    </row>
    <row r="13" spans="1:13" ht="38.25" x14ac:dyDescent="0.25">
      <c r="A13" s="53">
        <v>9</v>
      </c>
      <c r="B13" s="54" t="s">
        <v>81</v>
      </c>
      <c r="C13" s="55">
        <v>300000</v>
      </c>
      <c r="E13" s="60" t="b">
        <f>EXACT(B13,Hoja1!C440)</f>
        <v>0</v>
      </c>
      <c r="F13" s="60" t="b">
        <f>EXACT(C13,Hoja1!D440)</f>
        <v>0</v>
      </c>
    </row>
    <row r="14" spans="1:13" ht="51" x14ac:dyDescent="0.25">
      <c r="A14" s="53">
        <v>10</v>
      </c>
      <c r="B14" s="54" t="s">
        <v>82</v>
      </c>
      <c r="C14" s="55">
        <v>25500</v>
      </c>
      <c r="E14" s="60" t="b">
        <f>EXACT(B14,Hoja1!C441)</f>
        <v>0</v>
      </c>
      <c r="F14" s="60" t="b">
        <f>EXACT(C14,Hoja1!D441)</f>
        <v>0</v>
      </c>
    </row>
    <row r="15" spans="1:13" ht="51" x14ac:dyDescent="0.25">
      <c r="A15" s="53">
        <v>11</v>
      </c>
      <c r="B15" s="54" t="s">
        <v>83</v>
      </c>
      <c r="C15" s="55">
        <v>25500</v>
      </c>
      <c r="E15" s="60" t="b">
        <f>EXACT(B15,Hoja1!C442)</f>
        <v>0</v>
      </c>
      <c r="F15" s="60" t="b">
        <f>EXACT(C15,Hoja1!D442)</f>
        <v>0</v>
      </c>
    </row>
    <row r="16" spans="1:13" ht="63.75" x14ac:dyDescent="0.25">
      <c r="A16" s="53">
        <v>12</v>
      </c>
      <c r="B16" s="54" t="s">
        <v>84</v>
      </c>
      <c r="C16" s="55">
        <v>80000</v>
      </c>
      <c r="E16" s="60" t="b">
        <f>EXACT(B16,Hoja1!C443)</f>
        <v>0</v>
      </c>
      <c r="F16" s="60" t="b">
        <f>EXACT(C16,Hoja1!D443)</f>
        <v>0</v>
      </c>
    </row>
    <row r="17" spans="1:6" ht="38.25" x14ac:dyDescent="0.25">
      <c r="A17" s="53">
        <v>13</v>
      </c>
      <c r="B17" s="54" t="s">
        <v>85</v>
      </c>
      <c r="C17" s="55">
        <v>400000</v>
      </c>
      <c r="E17" s="60" t="b">
        <f>EXACT(B17,Hoja1!C444)</f>
        <v>0</v>
      </c>
      <c r="F17" s="60" t="b">
        <f>EXACT(C17,Hoja1!D444)</f>
        <v>0</v>
      </c>
    </row>
    <row r="18" spans="1:6" ht="51" x14ac:dyDescent="0.25">
      <c r="A18" s="53">
        <v>14</v>
      </c>
      <c r="B18" s="54" t="s">
        <v>86</v>
      </c>
      <c r="C18" s="55">
        <v>380000</v>
      </c>
      <c r="E18" s="60" t="b">
        <f>EXACT(B18,Hoja1!C445)</f>
        <v>0</v>
      </c>
      <c r="F18" s="60" t="b">
        <f>EXACT(C18,Hoja1!D445)</f>
        <v>0</v>
      </c>
    </row>
    <row r="19" spans="1:6" ht="63.75" x14ac:dyDescent="0.25">
      <c r="A19" s="53">
        <v>15</v>
      </c>
      <c r="B19" s="54" t="s">
        <v>313</v>
      </c>
      <c r="C19" s="55">
        <v>80000</v>
      </c>
      <c r="E19" s="60" t="b">
        <f>EXACT(B19,Hoja1!C446)</f>
        <v>0</v>
      </c>
      <c r="F19" s="60" t="b">
        <f>EXACT(C19,Hoja1!D446)</f>
        <v>0</v>
      </c>
    </row>
  </sheetData>
  <autoFilter ref="A5:M19"/>
  <pageMargins left="0.5" right="0.3"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31"/>
  <sheetViews>
    <sheetView workbookViewId="0">
      <pane xSplit="4" ySplit="5" topLeftCell="E6" activePane="bottomRight" state="frozen"/>
      <selection pane="topRight" activeCell="E1" sqref="E1"/>
      <selection pane="bottomLeft" activeCell="A6" sqref="A6"/>
      <selection pane="bottomRight" activeCell="C2" sqref="C2"/>
    </sheetView>
  </sheetViews>
  <sheetFormatPr baseColWidth="10" defaultRowHeight="15" x14ac:dyDescent="0.25"/>
  <cols>
    <col min="1" max="1" width="11.42578125" style="60"/>
    <col min="2" max="2" width="38.28515625" style="60" customWidth="1"/>
    <col min="3" max="4" width="11.42578125" style="60"/>
    <col min="5" max="5" width="11.42578125" style="61"/>
    <col min="6" max="7" width="11.85546875" style="55" bestFit="1" customWidth="1"/>
    <col min="8" max="14" width="11.42578125" style="55"/>
    <col min="15" max="16384" width="11.42578125" style="60"/>
  </cols>
  <sheetData>
    <row r="1" spans="1:7" x14ac:dyDescent="0.25">
      <c r="E1" s="62">
        <f>COUNTIF(E5:E344,0)</f>
        <v>203</v>
      </c>
    </row>
    <row r="2" spans="1:7" x14ac:dyDescent="0.25">
      <c r="C2" s="55">
        <f>C3+Hoja2!C3</f>
        <v>126665732.83000004</v>
      </c>
    </row>
    <row r="3" spans="1:7" x14ac:dyDescent="0.25">
      <c r="C3" s="55">
        <f>SUBTOTAL(9,C5:C239)</f>
        <v>122940946.71000004</v>
      </c>
      <c r="E3" s="62">
        <f>COUNT(E5:E344)</f>
        <v>226</v>
      </c>
    </row>
    <row r="5" spans="1:7" ht="38.25" x14ac:dyDescent="0.25">
      <c r="A5" s="50" t="s">
        <v>224</v>
      </c>
      <c r="B5" s="51" t="s">
        <v>225</v>
      </c>
      <c r="C5" s="52" t="s">
        <v>324</v>
      </c>
    </row>
    <row r="6" spans="1:7" s="55" customFormat="1" ht="51" hidden="1" x14ac:dyDescent="0.25">
      <c r="A6" s="53">
        <v>0</v>
      </c>
      <c r="B6" s="54" t="s">
        <v>88</v>
      </c>
      <c r="C6" s="55">
        <v>130.95999999996275</v>
      </c>
      <c r="D6" s="60"/>
      <c r="E6" s="62">
        <f>COUNTIF(Hoja1!$C$9:$C$452,'Hoja3 (2)'!B6)</f>
        <v>0</v>
      </c>
      <c r="F6" s="60" t="b">
        <f>EXACT(B6,Hoja1!C12)</f>
        <v>0</v>
      </c>
      <c r="G6" s="60" t="b">
        <f>EXACT(C6,Hoja1!D12)</f>
        <v>0</v>
      </c>
    </row>
    <row r="7" spans="1:7" s="55" customFormat="1" ht="51" hidden="1" x14ac:dyDescent="0.25">
      <c r="A7" s="53">
        <v>1</v>
      </c>
      <c r="B7" s="54" t="s">
        <v>89</v>
      </c>
      <c r="C7" s="55">
        <v>19803</v>
      </c>
      <c r="D7" s="60"/>
      <c r="E7" s="62">
        <f>COUNTIF(Hoja1!$C$9:$C$452,'Hoja3 (2)'!B7)</f>
        <v>0</v>
      </c>
      <c r="F7" s="60" t="b">
        <f>EXACT(B7,Hoja1!C13)</f>
        <v>0</v>
      </c>
      <c r="G7" s="60" t="b">
        <f>EXACT(C7,Hoja1!D13)</f>
        <v>0</v>
      </c>
    </row>
    <row r="8" spans="1:7" s="55" customFormat="1" ht="63.75" hidden="1" x14ac:dyDescent="0.25">
      <c r="A8" s="53">
        <v>2</v>
      </c>
      <c r="B8" s="54" t="s">
        <v>90</v>
      </c>
      <c r="C8" s="55">
        <v>22750</v>
      </c>
      <c r="D8" s="60"/>
      <c r="E8" s="62">
        <f>COUNTIF(Hoja1!$C$9:$C$452,'Hoja3 (2)'!B8)</f>
        <v>0</v>
      </c>
      <c r="F8" s="60" t="b">
        <f>EXACT(B8,Hoja1!C14)</f>
        <v>0</v>
      </c>
      <c r="G8" s="60" t="b">
        <f>EXACT(C8,Hoja1!D14)</f>
        <v>0</v>
      </c>
    </row>
    <row r="9" spans="1:7" s="55" customFormat="1" ht="63.75" hidden="1" x14ac:dyDescent="0.25">
      <c r="A9" s="53">
        <v>3</v>
      </c>
      <c r="B9" s="54" t="s">
        <v>91</v>
      </c>
      <c r="C9" s="55">
        <v>19803</v>
      </c>
      <c r="D9" s="60"/>
      <c r="E9" s="62">
        <f>COUNTIF(Hoja1!$C$9:$C$452,'Hoja3 (2)'!B9)</f>
        <v>0</v>
      </c>
      <c r="F9" s="60" t="b">
        <f>EXACT(B9,Hoja1!C15)</f>
        <v>0</v>
      </c>
      <c r="G9" s="60" t="b">
        <f>EXACT(C9,Hoja1!D15)</f>
        <v>0</v>
      </c>
    </row>
    <row r="10" spans="1:7" s="55" customFormat="1" ht="51" hidden="1" x14ac:dyDescent="0.25">
      <c r="A10" s="53">
        <v>4</v>
      </c>
      <c r="B10" s="54" t="s">
        <v>92</v>
      </c>
      <c r="C10" s="55">
        <v>19803</v>
      </c>
      <c r="D10" s="60"/>
      <c r="E10" s="62">
        <f>COUNTIF(Hoja1!$C$9:$C$452,'Hoja3 (2)'!B10)</f>
        <v>0</v>
      </c>
      <c r="F10" s="60" t="b">
        <f>EXACT(B10,Hoja1!C16)</f>
        <v>0</v>
      </c>
      <c r="G10" s="60" t="b">
        <f>EXACT(C10,Hoja1!D16)</f>
        <v>0</v>
      </c>
    </row>
    <row r="11" spans="1:7" s="55" customFormat="1" ht="51" hidden="1" x14ac:dyDescent="0.25">
      <c r="A11" s="53">
        <v>5</v>
      </c>
      <c r="B11" s="54" t="s">
        <v>93</v>
      </c>
      <c r="C11" s="55">
        <v>22750</v>
      </c>
      <c r="D11" s="60"/>
      <c r="E11" s="62">
        <f>COUNTIF(Hoja1!$C$9:$C$452,'Hoja3 (2)'!B11)</f>
        <v>0</v>
      </c>
      <c r="F11" s="60" t="b">
        <f>EXACT(B11,Hoja1!C17)</f>
        <v>0</v>
      </c>
      <c r="G11" s="60" t="b">
        <f>EXACT(C11,Hoja1!D17)</f>
        <v>0</v>
      </c>
    </row>
    <row r="12" spans="1:7" s="55" customFormat="1" ht="51" hidden="1" x14ac:dyDescent="0.25">
      <c r="A12" s="53">
        <v>6</v>
      </c>
      <c r="B12" s="54" t="s">
        <v>94</v>
      </c>
      <c r="C12" s="55">
        <v>9901.5</v>
      </c>
      <c r="D12" s="60"/>
      <c r="E12" s="62">
        <f>COUNTIF(Hoja1!$C$9:$C$452,'Hoja3 (2)'!B12)</f>
        <v>0</v>
      </c>
      <c r="F12" s="60" t="b">
        <f>EXACT(B12,Hoja1!C18)</f>
        <v>0</v>
      </c>
      <c r="G12" s="60" t="b">
        <f>EXACT(C12,Hoja1!D18)</f>
        <v>0</v>
      </c>
    </row>
    <row r="13" spans="1:7" s="55" customFormat="1" ht="63.75" hidden="1" x14ac:dyDescent="0.25">
      <c r="A13" s="53">
        <v>7</v>
      </c>
      <c r="B13" s="54" t="s">
        <v>95</v>
      </c>
      <c r="C13" s="55">
        <v>11375</v>
      </c>
      <c r="D13" s="60"/>
      <c r="E13" s="62">
        <f>COUNTIF(Hoja1!$C$9:$C$452,'Hoja3 (2)'!B13)</f>
        <v>0</v>
      </c>
      <c r="F13" s="60" t="b">
        <f>EXACT(B13,Hoja1!C19)</f>
        <v>0</v>
      </c>
      <c r="G13" s="60" t="b">
        <f>EXACT(C13,Hoja1!D19)</f>
        <v>0</v>
      </c>
    </row>
    <row r="14" spans="1:7" s="55" customFormat="1" ht="51" hidden="1" x14ac:dyDescent="0.25">
      <c r="A14" s="53">
        <v>8</v>
      </c>
      <c r="B14" s="54" t="s">
        <v>96</v>
      </c>
      <c r="C14" s="55">
        <v>11375</v>
      </c>
      <c r="D14" s="60"/>
      <c r="E14" s="62">
        <f>COUNTIF(Hoja1!$C$9:$C$452,'Hoja3 (2)'!B14)</f>
        <v>0</v>
      </c>
      <c r="F14" s="60" t="b">
        <f>EXACT(B14,Hoja1!C20)</f>
        <v>0</v>
      </c>
      <c r="G14" s="60" t="b">
        <f>EXACT(C14,Hoja1!D20)</f>
        <v>0</v>
      </c>
    </row>
    <row r="15" spans="1:7" s="55" customFormat="1" ht="51" hidden="1" x14ac:dyDescent="0.25">
      <c r="A15" s="53">
        <v>9</v>
      </c>
      <c r="B15" s="54" t="s">
        <v>97</v>
      </c>
      <c r="C15" s="55">
        <v>22750</v>
      </c>
      <c r="D15" s="60"/>
      <c r="E15" s="62">
        <f>COUNTIF(Hoja1!$C$9:$C$452,'Hoja3 (2)'!B15)</f>
        <v>0</v>
      </c>
      <c r="F15" s="60" t="b">
        <f>EXACT(B15,Hoja1!C21)</f>
        <v>0</v>
      </c>
      <c r="G15" s="60" t="b">
        <f>EXACT(C15,Hoja1!D21)</f>
        <v>0</v>
      </c>
    </row>
    <row r="16" spans="1:7" s="55" customFormat="1" ht="51" hidden="1" x14ac:dyDescent="0.25">
      <c r="A16" s="53">
        <v>10</v>
      </c>
      <c r="B16" s="54" t="s">
        <v>98</v>
      </c>
      <c r="C16" s="55">
        <v>19803</v>
      </c>
      <c r="D16" s="60"/>
      <c r="E16" s="62">
        <f>COUNTIF(Hoja1!$C$9:$C$452,'Hoja3 (2)'!B16)</f>
        <v>0</v>
      </c>
      <c r="F16" s="60" t="b">
        <f>EXACT(B16,Hoja1!C22)</f>
        <v>0</v>
      </c>
      <c r="G16" s="60" t="b">
        <f>EXACT(C16,Hoja1!D22)</f>
        <v>0</v>
      </c>
    </row>
    <row r="17" spans="1:7" s="55" customFormat="1" ht="51" hidden="1" x14ac:dyDescent="0.25">
      <c r="A17" s="53">
        <v>11</v>
      </c>
      <c r="B17" s="54" t="s">
        <v>99</v>
      </c>
      <c r="C17" s="55">
        <v>19803</v>
      </c>
      <c r="D17" s="60"/>
      <c r="E17" s="62">
        <f>COUNTIF(Hoja1!$C$9:$C$452,'Hoja3 (2)'!B17)</f>
        <v>0</v>
      </c>
      <c r="F17" s="60" t="b">
        <f>EXACT(B17,Hoja1!C23)</f>
        <v>0</v>
      </c>
      <c r="G17" s="60" t="b">
        <f>EXACT(C17,Hoja1!D23)</f>
        <v>0</v>
      </c>
    </row>
    <row r="18" spans="1:7" s="55" customFormat="1" ht="51" hidden="1" x14ac:dyDescent="0.25">
      <c r="A18" s="53">
        <v>12</v>
      </c>
      <c r="B18" s="54" t="s">
        <v>100</v>
      </c>
      <c r="C18" s="55">
        <v>19803</v>
      </c>
      <c r="D18" s="60"/>
      <c r="E18" s="62">
        <f>COUNTIF(Hoja1!$C$9:$C$452,'Hoja3 (2)'!B18)</f>
        <v>0</v>
      </c>
      <c r="F18" s="60" t="b">
        <f>EXACT(B18,Hoja1!C24)</f>
        <v>0</v>
      </c>
      <c r="G18" s="60" t="b">
        <f>EXACT(C18,Hoja1!D24)</f>
        <v>0</v>
      </c>
    </row>
    <row r="19" spans="1:7" s="55" customFormat="1" ht="51" hidden="1" x14ac:dyDescent="0.25">
      <c r="A19" s="53">
        <v>13</v>
      </c>
      <c r="B19" s="54" t="s">
        <v>101</v>
      </c>
      <c r="C19" s="55">
        <v>9901.5</v>
      </c>
      <c r="D19" s="60"/>
      <c r="E19" s="62">
        <f>COUNTIF(Hoja1!$C$9:$C$452,'Hoja3 (2)'!B19)</f>
        <v>0</v>
      </c>
      <c r="F19" s="60" t="b">
        <f>EXACT(B19,Hoja1!C25)</f>
        <v>0</v>
      </c>
      <c r="G19" s="60" t="b">
        <f>EXACT(C19,Hoja1!D25)</f>
        <v>0</v>
      </c>
    </row>
    <row r="20" spans="1:7" s="55" customFormat="1" ht="63.75" hidden="1" x14ac:dyDescent="0.25">
      <c r="A20" s="53">
        <v>14</v>
      </c>
      <c r="B20" s="54" t="s">
        <v>102</v>
      </c>
      <c r="C20" s="55">
        <v>9901.5</v>
      </c>
      <c r="D20" s="60"/>
      <c r="E20" s="62">
        <f>COUNTIF(Hoja1!$C$9:$C$452,'Hoja3 (2)'!B20)</f>
        <v>0</v>
      </c>
      <c r="F20" s="60" t="b">
        <f>EXACT(B20,Hoja1!C26)</f>
        <v>0</v>
      </c>
      <c r="G20" s="60" t="b">
        <f>EXACT(C20,Hoja1!D26)</f>
        <v>0</v>
      </c>
    </row>
    <row r="21" spans="1:7" s="55" customFormat="1" ht="63.75" hidden="1" x14ac:dyDescent="0.25">
      <c r="A21" s="53">
        <v>16</v>
      </c>
      <c r="B21" s="54" t="s">
        <v>103</v>
      </c>
      <c r="C21" s="55">
        <v>9901.5</v>
      </c>
      <c r="D21" s="60"/>
      <c r="E21" s="62">
        <f>COUNTIF(Hoja1!$C$9:$C$452,'Hoja3 (2)'!B21)</f>
        <v>0</v>
      </c>
      <c r="F21" s="60" t="b">
        <f>EXACT(B21,Hoja1!C27)</f>
        <v>0</v>
      </c>
      <c r="G21" s="60" t="b">
        <f>EXACT(C21,Hoja1!D27)</f>
        <v>0</v>
      </c>
    </row>
    <row r="22" spans="1:7" s="55" customFormat="1" ht="51" hidden="1" x14ac:dyDescent="0.25">
      <c r="A22" s="53">
        <v>17</v>
      </c>
      <c r="B22" s="54" t="s">
        <v>104</v>
      </c>
      <c r="C22" s="55">
        <v>34125</v>
      </c>
      <c r="D22" s="60"/>
      <c r="E22" s="62">
        <f>COUNTIF(Hoja1!$C$9:$C$452,'Hoja3 (2)'!B22)</f>
        <v>0</v>
      </c>
      <c r="F22" s="60" t="b">
        <f>EXACT(B22,Hoja1!C28)</f>
        <v>0</v>
      </c>
      <c r="G22" s="60" t="b">
        <f>EXACT(C22,Hoja1!D28)</f>
        <v>0</v>
      </c>
    </row>
    <row r="23" spans="1:7" s="55" customFormat="1" ht="51" hidden="1" x14ac:dyDescent="0.25">
      <c r="A23" s="53">
        <v>18</v>
      </c>
      <c r="B23" s="54" t="s">
        <v>105</v>
      </c>
      <c r="C23" s="55">
        <v>19803</v>
      </c>
      <c r="D23" s="60"/>
      <c r="E23" s="62">
        <f>COUNTIF(Hoja1!$C$9:$C$452,'Hoja3 (2)'!B23)</f>
        <v>0</v>
      </c>
      <c r="F23" s="60" t="b">
        <f>EXACT(B23,Hoja1!C29)</f>
        <v>0</v>
      </c>
      <c r="G23" s="60" t="b">
        <f>EXACT(C23,Hoja1!D29)</f>
        <v>0</v>
      </c>
    </row>
    <row r="24" spans="1:7" s="55" customFormat="1" ht="63.75" hidden="1" x14ac:dyDescent="0.25">
      <c r="A24" s="53">
        <v>19</v>
      </c>
      <c r="B24" s="54" t="s">
        <v>106</v>
      </c>
      <c r="C24" s="55">
        <v>19803</v>
      </c>
      <c r="D24" s="60"/>
      <c r="E24" s="62">
        <f>COUNTIF(Hoja1!$C$9:$C$452,'Hoja3 (2)'!B24)</f>
        <v>0</v>
      </c>
      <c r="F24" s="60" t="b">
        <f>EXACT(B24,Hoja1!C30)</f>
        <v>0</v>
      </c>
      <c r="G24" s="60" t="b">
        <f>EXACT(C24,Hoja1!D30)</f>
        <v>0</v>
      </c>
    </row>
    <row r="25" spans="1:7" s="55" customFormat="1" ht="63.75" hidden="1" x14ac:dyDescent="0.25">
      <c r="A25" s="53">
        <v>20</v>
      </c>
      <c r="B25" s="54" t="s">
        <v>107</v>
      </c>
      <c r="C25" s="55">
        <v>39606</v>
      </c>
      <c r="D25" s="60"/>
      <c r="E25" s="62">
        <f>COUNTIF(Hoja1!$C$9:$C$452,'Hoja3 (2)'!B25)</f>
        <v>0</v>
      </c>
      <c r="F25" s="60" t="b">
        <f>EXACT(B25,Hoja1!C31)</f>
        <v>0</v>
      </c>
      <c r="G25" s="60" t="b">
        <f>EXACT(C25,Hoja1!D31)</f>
        <v>0</v>
      </c>
    </row>
    <row r="26" spans="1:7" s="55" customFormat="1" ht="51" hidden="1" x14ac:dyDescent="0.25">
      <c r="A26" s="53">
        <v>21</v>
      </c>
      <c r="B26" s="54" t="s">
        <v>108</v>
      </c>
      <c r="C26" s="55">
        <v>19803</v>
      </c>
      <c r="D26" s="60"/>
      <c r="E26" s="62">
        <f>COUNTIF(Hoja1!$C$9:$C$452,'Hoja3 (2)'!B26)</f>
        <v>0</v>
      </c>
      <c r="F26" s="60" t="b">
        <f>EXACT(B26,Hoja1!C32)</f>
        <v>0</v>
      </c>
      <c r="G26" s="60" t="b">
        <f>EXACT(C26,Hoja1!D32)</f>
        <v>0</v>
      </c>
    </row>
    <row r="27" spans="1:7" s="55" customFormat="1" ht="51" hidden="1" x14ac:dyDescent="0.25">
      <c r="A27" s="53">
        <v>22</v>
      </c>
      <c r="B27" s="54" t="s">
        <v>109</v>
      </c>
      <c r="C27" s="55">
        <v>19803</v>
      </c>
      <c r="D27" s="60"/>
      <c r="E27" s="62">
        <f>COUNTIF(Hoja1!$C$9:$C$452,'Hoja3 (2)'!B27)</f>
        <v>0</v>
      </c>
      <c r="F27" s="60" t="b">
        <f>EXACT(B27,Hoja1!C33)</f>
        <v>0</v>
      </c>
      <c r="G27" s="60" t="b">
        <f>EXACT(C27,Hoja1!D33)</f>
        <v>0</v>
      </c>
    </row>
    <row r="28" spans="1:7" s="55" customFormat="1" ht="63.75" hidden="1" x14ac:dyDescent="0.25">
      <c r="A28" s="53">
        <v>23</v>
      </c>
      <c r="B28" s="54" t="s">
        <v>110</v>
      </c>
      <c r="C28" s="55">
        <v>9901.5</v>
      </c>
      <c r="D28" s="60"/>
      <c r="E28" s="62">
        <f>COUNTIF(Hoja1!$C$9:$C$452,'Hoja3 (2)'!B28)</f>
        <v>0</v>
      </c>
      <c r="F28" s="60" t="b">
        <f>EXACT(B28,Hoja1!C34)</f>
        <v>0</v>
      </c>
      <c r="G28" s="60" t="b">
        <f>EXACT(C28,Hoja1!D34)</f>
        <v>0</v>
      </c>
    </row>
    <row r="29" spans="1:7" s="55" customFormat="1" ht="51" hidden="1" x14ac:dyDescent="0.25">
      <c r="A29" s="53">
        <v>24</v>
      </c>
      <c r="B29" s="54" t="s">
        <v>111</v>
      </c>
      <c r="C29" s="55">
        <v>19803</v>
      </c>
      <c r="D29" s="60"/>
      <c r="E29" s="62">
        <f>COUNTIF(Hoja1!$C$9:$C$452,'Hoja3 (2)'!B29)</f>
        <v>0</v>
      </c>
      <c r="F29" s="60" t="b">
        <f>EXACT(B29,Hoja1!C35)</f>
        <v>0</v>
      </c>
      <c r="G29" s="60" t="b">
        <f>EXACT(C29,Hoja1!D35)</f>
        <v>0</v>
      </c>
    </row>
    <row r="30" spans="1:7" s="55" customFormat="1" ht="51" hidden="1" x14ac:dyDescent="0.25">
      <c r="A30" s="53">
        <v>25</v>
      </c>
      <c r="B30" s="54" t="s">
        <v>112</v>
      </c>
      <c r="C30" s="55">
        <v>22750</v>
      </c>
      <c r="D30" s="60"/>
      <c r="E30" s="62">
        <f>COUNTIF(Hoja1!$C$9:$C$452,'Hoja3 (2)'!B30)</f>
        <v>0</v>
      </c>
      <c r="F30" s="60" t="b">
        <f>EXACT(B30,Hoja1!C36)</f>
        <v>0</v>
      </c>
      <c r="G30" s="60" t="b">
        <f>EXACT(C30,Hoja1!D36)</f>
        <v>0</v>
      </c>
    </row>
    <row r="31" spans="1:7" s="55" customFormat="1" ht="51" hidden="1" x14ac:dyDescent="0.25">
      <c r="A31" s="53">
        <v>26</v>
      </c>
      <c r="B31" s="54" t="s">
        <v>113</v>
      </c>
      <c r="C31" s="55">
        <v>34125</v>
      </c>
      <c r="D31" s="60"/>
      <c r="E31" s="62">
        <f>COUNTIF(Hoja1!$C$9:$C$452,'Hoja3 (2)'!B31)</f>
        <v>0</v>
      </c>
      <c r="F31" s="60" t="b">
        <f>EXACT(B31,Hoja1!C37)</f>
        <v>0</v>
      </c>
      <c r="G31" s="60" t="b">
        <f>EXACT(C31,Hoja1!D37)</f>
        <v>0</v>
      </c>
    </row>
    <row r="32" spans="1:7" s="55" customFormat="1" ht="51" hidden="1" x14ac:dyDescent="0.25">
      <c r="A32" s="53">
        <v>27</v>
      </c>
      <c r="B32" s="54" t="s">
        <v>114</v>
      </c>
      <c r="C32" s="55">
        <v>22750</v>
      </c>
      <c r="D32" s="60"/>
      <c r="E32" s="62">
        <f>COUNTIF(Hoja1!$C$9:$C$452,'Hoja3 (2)'!B32)</f>
        <v>0</v>
      </c>
      <c r="F32" s="60" t="b">
        <f>EXACT(B32,Hoja1!C38)</f>
        <v>0</v>
      </c>
      <c r="G32" s="60" t="b">
        <f>EXACT(C32,Hoja1!D38)</f>
        <v>0</v>
      </c>
    </row>
    <row r="33" spans="1:7" s="55" customFormat="1" ht="51" hidden="1" x14ac:dyDescent="0.25">
      <c r="A33" s="53">
        <v>28</v>
      </c>
      <c r="B33" s="54" t="s">
        <v>115</v>
      </c>
      <c r="C33" s="55">
        <v>11375</v>
      </c>
      <c r="D33" s="60"/>
      <c r="E33" s="62">
        <f>COUNTIF(Hoja1!$C$9:$C$452,'Hoja3 (2)'!B33)</f>
        <v>0</v>
      </c>
      <c r="F33" s="60" t="b">
        <f>EXACT(B33,Hoja1!C39)</f>
        <v>0</v>
      </c>
      <c r="G33" s="60" t="b">
        <f>EXACT(C33,Hoja1!D39)</f>
        <v>0</v>
      </c>
    </row>
    <row r="34" spans="1:7" s="55" customFormat="1" ht="51" hidden="1" x14ac:dyDescent="0.25">
      <c r="A34" s="53">
        <v>29</v>
      </c>
      <c r="B34" s="54" t="s">
        <v>116</v>
      </c>
      <c r="C34" s="55">
        <v>22750</v>
      </c>
      <c r="D34" s="60"/>
      <c r="E34" s="62">
        <f>COUNTIF(Hoja1!$C$9:$C$452,'Hoja3 (2)'!B34)</f>
        <v>0</v>
      </c>
      <c r="F34" s="60" t="b">
        <f>EXACT(B34,Hoja1!C40)</f>
        <v>0</v>
      </c>
      <c r="G34" s="60" t="b">
        <f>EXACT(C34,Hoja1!D40)</f>
        <v>0</v>
      </c>
    </row>
    <row r="35" spans="1:7" s="55" customFormat="1" ht="51" hidden="1" x14ac:dyDescent="0.25">
      <c r="A35" s="53">
        <v>30</v>
      </c>
      <c r="B35" s="54" t="s">
        <v>117</v>
      </c>
      <c r="C35" s="55">
        <v>19803</v>
      </c>
      <c r="D35" s="60"/>
      <c r="E35" s="62">
        <f>COUNTIF(Hoja1!$C$9:$C$452,'Hoja3 (2)'!B35)</f>
        <v>0</v>
      </c>
      <c r="F35" s="60" t="b">
        <f>EXACT(B35,Hoja1!C41)</f>
        <v>0</v>
      </c>
      <c r="G35" s="60" t="b">
        <f>EXACT(C35,Hoja1!D41)</f>
        <v>0</v>
      </c>
    </row>
    <row r="36" spans="1:7" s="55" customFormat="1" ht="63.75" hidden="1" x14ac:dyDescent="0.25">
      <c r="A36" s="53">
        <v>31</v>
      </c>
      <c r="B36" s="54" t="s">
        <v>118</v>
      </c>
      <c r="C36" s="55">
        <v>11375</v>
      </c>
      <c r="D36" s="60"/>
      <c r="E36" s="62">
        <f>COUNTIF(Hoja1!$C$9:$C$452,'Hoja3 (2)'!B36)</f>
        <v>0</v>
      </c>
      <c r="F36" s="60" t="b">
        <f>EXACT(B36,Hoja1!C42)</f>
        <v>0</v>
      </c>
      <c r="G36" s="60" t="b">
        <f>EXACT(C36,Hoja1!D42)</f>
        <v>0</v>
      </c>
    </row>
    <row r="37" spans="1:7" s="55" customFormat="1" ht="51" hidden="1" x14ac:dyDescent="0.25">
      <c r="A37" s="53">
        <v>32</v>
      </c>
      <c r="B37" s="54" t="s">
        <v>119</v>
      </c>
      <c r="C37" s="55">
        <v>22750</v>
      </c>
      <c r="D37" s="60"/>
      <c r="E37" s="62">
        <f>COUNTIF(Hoja1!$C$9:$C$452,'Hoja3 (2)'!B37)</f>
        <v>0</v>
      </c>
      <c r="F37" s="60" t="b">
        <f>EXACT(B37,Hoja1!C43)</f>
        <v>0</v>
      </c>
      <c r="G37" s="60" t="b">
        <f>EXACT(C37,Hoja1!D43)</f>
        <v>0</v>
      </c>
    </row>
    <row r="38" spans="1:7" s="55" customFormat="1" ht="51" hidden="1" x14ac:dyDescent="0.25">
      <c r="A38" s="53">
        <v>33</v>
      </c>
      <c r="B38" s="54" t="s">
        <v>116</v>
      </c>
      <c r="C38" s="55">
        <v>22750</v>
      </c>
      <c r="D38" s="60"/>
      <c r="E38" s="62">
        <f>COUNTIF(Hoja1!$C$9:$C$452,'Hoja3 (2)'!B38)</f>
        <v>0</v>
      </c>
      <c r="F38" s="60" t="b">
        <f>EXACT(B38,Hoja1!C44)</f>
        <v>0</v>
      </c>
      <c r="G38" s="60" t="b">
        <f>EXACT(C38,Hoja1!D44)</f>
        <v>0</v>
      </c>
    </row>
    <row r="39" spans="1:7" s="55" customFormat="1" ht="51" hidden="1" x14ac:dyDescent="0.25">
      <c r="A39" s="53">
        <v>34</v>
      </c>
      <c r="B39" s="54" t="s">
        <v>120</v>
      </c>
      <c r="C39" s="55">
        <v>11375</v>
      </c>
      <c r="D39" s="60"/>
      <c r="E39" s="62">
        <f>COUNTIF(Hoja1!$C$9:$C$452,'Hoja3 (2)'!B39)</f>
        <v>0</v>
      </c>
      <c r="F39" s="60" t="b">
        <f>EXACT(B39,Hoja1!C45)</f>
        <v>0</v>
      </c>
      <c r="G39" s="60" t="b">
        <f>EXACT(C39,Hoja1!D45)</f>
        <v>0</v>
      </c>
    </row>
    <row r="40" spans="1:7" s="55" customFormat="1" ht="63.75" hidden="1" x14ac:dyDescent="0.25">
      <c r="A40" s="53">
        <v>35</v>
      </c>
      <c r="B40" s="54" t="s">
        <v>121</v>
      </c>
      <c r="C40" s="55">
        <v>11375</v>
      </c>
      <c r="D40" s="60"/>
      <c r="E40" s="62">
        <f>COUNTIF(Hoja1!$C$9:$C$452,'Hoja3 (2)'!B40)</f>
        <v>0</v>
      </c>
      <c r="F40" s="60" t="b">
        <f>EXACT(B40,Hoja1!C46)</f>
        <v>0</v>
      </c>
      <c r="G40" s="60" t="b">
        <f>EXACT(C40,Hoja1!D46)</f>
        <v>0</v>
      </c>
    </row>
    <row r="41" spans="1:7" s="55" customFormat="1" ht="76.5" hidden="1" x14ac:dyDescent="0.25">
      <c r="A41" s="53">
        <v>36</v>
      </c>
      <c r="B41" s="54" t="s">
        <v>122</v>
      </c>
      <c r="C41" s="55">
        <v>11375</v>
      </c>
      <c r="D41" s="60"/>
      <c r="E41" s="62">
        <f>COUNTIF(Hoja1!$C$9:$C$452,'Hoja3 (2)'!B41)</f>
        <v>0</v>
      </c>
      <c r="F41" s="60" t="b">
        <f>EXACT(B41,Hoja1!C47)</f>
        <v>0</v>
      </c>
      <c r="G41" s="60" t="b">
        <f>EXACT(C41,Hoja1!D47)</f>
        <v>0</v>
      </c>
    </row>
    <row r="42" spans="1:7" s="55" customFormat="1" ht="51" hidden="1" x14ac:dyDescent="0.25">
      <c r="A42" s="53">
        <v>37</v>
      </c>
      <c r="B42" s="54" t="s">
        <v>123</v>
      </c>
      <c r="C42" s="55">
        <v>11375</v>
      </c>
      <c r="D42" s="60"/>
      <c r="E42" s="62">
        <f>COUNTIF(Hoja1!$C$9:$C$452,'Hoja3 (2)'!B42)</f>
        <v>0</v>
      </c>
      <c r="F42" s="60" t="b">
        <f>EXACT(B42,Hoja1!C48)</f>
        <v>0</v>
      </c>
      <c r="G42" s="60" t="b">
        <f>EXACT(C42,Hoja1!D48)</f>
        <v>0</v>
      </c>
    </row>
    <row r="43" spans="1:7" s="55" customFormat="1" ht="51" hidden="1" x14ac:dyDescent="0.25">
      <c r="A43" s="53">
        <v>38</v>
      </c>
      <c r="B43" s="54" t="s">
        <v>124</v>
      </c>
      <c r="C43" s="55">
        <v>34125</v>
      </c>
      <c r="D43" s="60"/>
      <c r="E43" s="62">
        <f>COUNTIF(Hoja1!$C$9:$C$452,'Hoja3 (2)'!B43)</f>
        <v>0</v>
      </c>
      <c r="F43" s="60" t="b">
        <f>EXACT(B43,Hoja1!C49)</f>
        <v>0</v>
      </c>
      <c r="G43" s="60" t="b">
        <f>EXACT(C43,Hoja1!D49)</f>
        <v>0</v>
      </c>
    </row>
    <row r="44" spans="1:7" s="55" customFormat="1" ht="63.75" hidden="1" x14ac:dyDescent="0.25">
      <c r="A44" s="53">
        <v>39</v>
      </c>
      <c r="B44" s="54" t="s">
        <v>125</v>
      </c>
      <c r="C44" s="55">
        <v>22750</v>
      </c>
      <c r="D44" s="60"/>
      <c r="E44" s="62">
        <f>COUNTIF(Hoja1!$C$9:$C$452,'Hoja3 (2)'!B44)</f>
        <v>0</v>
      </c>
      <c r="F44" s="60" t="b">
        <f>EXACT(B44,Hoja1!C50)</f>
        <v>0</v>
      </c>
      <c r="G44" s="60" t="b">
        <f>EXACT(C44,Hoja1!D50)</f>
        <v>0</v>
      </c>
    </row>
    <row r="45" spans="1:7" s="55" customFormat="1" ht="63.75" hidden="1" x14ac:dyDescent="0.25">
      <c r="A45" s="53">
        <v>40</v>
      </c>
      <c r="B45" s="54" t="s">
        <v>126</v>
      </c>
      <c r="C45" s="55">
        <v>39606</v>
      </c>
      <c r="D45" s="60"/>
      <c r="E45" s="62">
        <f>COUNTIF(Hoja1!$C$9:$C$452,'Hoja3 (2)'!B45)</f>
        <v>0</v>
      </c>
      <c r="F45" s="60" t="b">
        <f>EXACT(B45,Hoja1!C51)</f>
        <v>0</v>
      </c>
      <c r="G45" s="60" t="b">
        <f>EXACT(C45,Hoja1!D51)</f>
        <v>0</v>
      </c>
    </row>
    <row r="46" spans="1:7" s="55" customFormat="1" ht="51" hidden="1" x14ac:dyDescent="0.25">
      <c r="A46" s="53">
        <v>41</v>
      </c>
      <c r="B46" s="54" t="s">
        <v>116</v>
      </c>
      <c r="C46" s="55">
        <v>41184.5</v>
      </c>
      <c r="D46" s="60"/>
      <c r="E46" s="62">
        <f>COUNTIF(Hoja1!$C$9:$C$452,'Hoja3 (2)'!B46)</f>
        <v>0</v>
      </c>
      <c r="F46" s="60" t="b">
        <f>EXACT(B46,Hoja1!C52)</f>
        <v>0</v>
      </c>
      <c r="G46" s="60" t="b">
        <f>EXACT(C46,Hoja1!D52)</f>
        <v>0</v>
      </c>
    </row>
    <row r="47" spans="1:7" s="55" customFormat="1" ht="51" hidden="1" x14ac:dyDescent="0.25">
      <c r="A47" s="53">
        <v>42</v>
      </c>
      <c r="B47" s="54" t="s">
        <v>116</v>
      </c>
      <c r="C47" s="55">
        <v>28000</v>
      </c>
      <c r="D47" s="60"/>
      <c r="E47" s="62">
        <f>COUNTIF(Hoja1!$C$9:$C$452,'Hoja3 (2)'!B47)</f>
        <v>0</v>
      </c>
      <c r="F47" s="60" t="b">
        <f>EXACT(B47,Hoja1!C53)</f>
        <v>0</v>
      </c>
      <c r="G47" s="60" t="b">
        <f>EXACT(C47,Hoja1!D53)</f>
        <v>0</v>
      </c>
    </row>
    <row r="48" spans="1:7" s="55" customFormat="1" ht="63.75" hidden="1" x14ac:dyDescent="0.25">
      <c r="A48" s="53">
        <v>43</v>
      </c>
      <c r="B48" s="54" t="s">
        <v>127</v>
      </c>
      <c r="C48" s="55">
        <v>22750</v>
      </c>
      <c r="D48" s="60"/>
      <c r="E48" s="62">
        <f>COUNTIF(Hoja1!$C$9:$C$452,'Hoja3 (2)'!B48)</f>
        <v>0</v>
      </c>
      <c r="F48" s="60" t="b">
        <f>EXACT(B48,Hoja1!C54)</f>
        <v>0</v>
      </c>
      <c r="G48" s="60" t="b">
        <f>EXACT(C48,Hoja1!D54)</f>
        <v>0</v>
      </c>
    </row>
    <row r="49" spans="1:7" s="55" customFormat="1" ht="51" hidden="1" x14ac:dyDescent="0.25">
      <c r="A49" s="53">
        <v>44</v>
      </c>
      <c r="B49" s="54" t="s">
        <v>128</v>
      </c>
      <c r="C49" s="55">
        <v>22750</v>
      </c>
      <c r="D49" s="60"/>
      <c r="E49" s="62">
        <f>COUNTIF(Hoja1!$C$9:$C$452,'Hoja3 (2)'!B49)</f>
        <v>0</v>
      </c>
      <c r="F49" s="60" t="b">
        <f>EXACT(B49,Hoja1!C55)</f>
        <v>0</v>
      </c>
      <c r="G49" s="60" t="b">
        <f>EXACT(C49,Hoja1!D55)</f>
        <v>0</v>
      </c>
    </row>
    <row r="50" spans="1:7" s="55" customFormat="1" ht="51" hidden="1" x14ac:dyDescent="0.25">
      <c r="A50" s="53">
        <v>45</v>
      </c>
      <c r="B50" s="54" t="s">
        <v>129</v>
      </c>
      <c r="C50" s="55">
        <v>19803</v>
      </c>
      <c r="D50" s="60"/>
      <c r="E50" s="62">
        <f>COUNTIF(Hoja1!$C$9:$C$452,'Hoja3 (2)'!B50)</f>
        <v>0</v>
      </c>
      <c r="F50" s="60" t="b">
        <f>EXACT(B50,Hoja1!C56)</f>
        <v>0</v>
      </c>
      <c r="G50" s="60" t="b">
        <f>EXACT(C50,Hoja1!D56)</f>
        <v>0</v>
      </c>
    </row>
    <row r="51" spans="1:7" s="55" customFormat="1" ht="51" hidden="1" x14ac:dyDescent="0.25">
      <c r="A51" s="53">
        <v>46</v>
      </c>
      <c r="B51" s="54" t="s">
        <v>130</v>
      </c>
      <c r="C51" s="55">
        <v>22750</v>
      </c>
      <c r="D51" s="60"/>
      <c r="E51" s="62">
        <f>COUNTIF(Hoja1!$C$9:$C$452,'Hoja3 (2)'!B51)</f>
        <v>0</v>
      </c>
      <c r="F51" s="60" t="b">
        <f>EXACT(B51,Hoja1!C57)</f>
        <v>0</v>
      </c>
      <c r="G51" s="60" t="b">
        <f>EXACT(C51,Hoja1!D57)</f>
        <v>0</v>
      </c>
    </row>
    <row r="52" spans="1:7" s="55" customFormat="1" ht="63.75" hidden="1" x14ac:dyDescent="0.25">
      <c r="A52" s="53">
        <v>47</v>
      </c>
      <c r="B52" s="54" t="s">
        <v>131</v>
      </c>
      <c r="C52" s="55">
        <v>34125</v>
      </c>
      <c r="D52" s="60"/>
      <c r="E52" s="62">
        <f>COUNTIF(Hoja1!$C$9:$C$452,'Hoja3 (2)'!B52)</f>
        <v>0</v>
      </c>
      <c r="F52" s="60" t="b">
        <f>EXACT(B52,Hoja1!C58)</f>
        <v>0</v>
      </c>
      <c r="G52" s="60" t="b">
        <f>EXACT(C52,Hoja1!D58)</f>
        <v>0</v>
      </c>
    </row>
    <row r="53" spans="1:7" s="55" customFormat="1" ht="51" hidden="1" x14ac:dyDescent="0.25">
      <c r="A53" s="53">
        <v>48</v>
      </c>
      <c r="B53" s="54" t="s">
        <v>132</v>
      </c>
      <c r="C53" s="55">
        <v>22750</v>
      </c>
      <c r="D53" s="60"/>
      <c r="E53" s="62">
        <f>COUNTIF(Hoja1!$C$9:$C$452,'Hoja3 (2)'!B53)</f>
        <v>0</v>
      </c>
      <c r="F53" s="60" t="b">
        <f>EXACT(B53,Hoja1!C59)</f>
        <v>0</v>
      </c>
      <c r="G53" s="60" t="b">
        <f>EXACT(C53,Hoja1!D59)</f>
        <v>0</v>
      </c>
    </row>
    <row r="54" spans="1:7" s="55" customFormat="1" ht="51" hidden="1" x14ac:dyDescent="0.25">
      <c r="A54" s="53">
        <v>49</v>
      </c>
      <c r="B54" s="54" t="s">
        <v>133</v>
      </c>
      <c r="C54" s="55">
        <v>9901.5</v>
      </c>
      <c r="D54" s="60"/>
      <c r="E54" s="62">
        <f>COUNTIF(Hoja1!$C$9:$C$452,'Hoja3 (2)'!B54)</f>
        <v>0</v>
      </c>
      <c r="F54" s="60" t="b">
        <f>EXACT(B54,Hoja1!C60)</f>
        <v>0</v>
      </c>
      <c r="G54" s="60" t="b">
        <f>EXACT(C54,Hoja1!D60)</f>
        <v>0</v>
      </c>
    </row>
    <row r="55" spans="1:7" s="55" customFormat="1" ht="76.5" hidden="1" x14ac:dyDescent="0.25">
      <c r="A55" s="53">
        <v>50</v>
      </c>
      <c r="B55" s="54" t="s">
        <v>227</v>
      </c>
      <c r="C55" s="55">
        <v>11375</v>
      </c>
      <c r="D55" s="60"/>
      <c r="E55" s="62">
        <f>COUNTIF(Hoja1!$C$9:$C$452,'Hoja3 (2)'!B55)</f>
        <v>0</v>
      </c>
      <c r="F55" s="60" t="b">
        <f>EXACT(B55,Hoja1!C61)</f>
        <v>0</v>
      </c>
      <c r="G55" s="60" t="b">
        <f>EXACT(C55,Hoja1!D61)</f>
        <v>0</v>
      </c>
    </row>
    <row r="56" spans="1:7" s="55" customFormat="1" ht="51" x14ac:dyDescent="0.25">
      <c r="A56" s="53">
        <v>51</v>
      </c>
      <c r="B56" s="54" t="s">
        <v>325</v>
      </c>
      <c r="C56" s="55">
        <v>0</v>
      </c>
      <c r="D56" s="60"/>
      <c r="E56" s="62">
        <f>COUNTIF(Hoja1!$C$9:$C$452,'Hoja3 (2)'!B56)</f>
        <v>0</v>
      </c>
      <c r="F56" s="60" t="b">
        <f>EXACT(B56,Hoja1!C62)</f>
        <v>0</v>
      </c>
      <c r="G56" s="60" t="b">
        <f>EXACT(C56,Hoja1!D62)</f>
        <v>0</v>
      </c>
    </row>
    <row r="57" spans="1:7" s="55" customFormat="1" ht="51" x14ac:dyDescent="0.25">
      <c r="A57" s="53">
        <v>52</v>
      </c>
      <c r="B57" s="54" t="s">
        <v>228</v>
      </c>
      <c r="C57" s="55">
        <v>1499999.54</v>
      </c>
      <c r="D57" s="60"/>
      <c r="E57" s="62">
        <f>COUNTIF(Hoja1!$C$9:$C$452,'Hoja3 (2)'!B57)</f>
        <v>0</v>
      </c>
      <c r="F57" s="60" t="b">
        <f>EXACT(B57,Hoja1!C63)</f>
        <v>0</v>
      </c>
      <c r="G57" s="60" t="b">
        <f>EXACT(C57,Hoja1!D63)</f>
        <v>0</v>
      </c>
    </row>
    <row r="58" spans="1:7" s="55" customFormat="1" ht="38.25" x14ac:dyDescent="0.25">
      <c r="A58" s="53">
        <v>2</v>
      </c>
      <c r="B58" s="54" t="s">
        <v>134</v>
      </c>
      <c r="C58" s="55">
        <v>48464.91</v>
      </c>
      <c r="D58" s="60"/>
      <c r="E58" s="62">
        <f>COUNTIF(Hoja1!$C$9:$C$452,'Hoja3 (2)'!B58)</f>
        <v>0</v>
      </c>
      <c r="F58" s="60" t="b">
        <f>EXACT(B58,Hoja1!C64)</f>
        <v>0</v>
      </c>
      <c r="G58" s="60" t="b">
        <f>EXACT(C58,Hoja1!D64)</f>
        <v>0</v>
      </c>
    </row>
    <row r="59" spans="1:7" s="55" customFormat="1" ht="38.25" x14ac:dyDescent="0.25">
      <c r="A59" s="53">
        <v>0</v>
      </c>
      <c r="B59" s="54" t="s">
        <v>135</v>
      </c>
      <c r="C59" s="55">
        <v>0.37999999988824129</v>
      </c>
      <c r="D59" s="60"/>
      <c r="E59" s="62">
        <f>COUNTIF(Hoja1!$C$9:$C$452,'Hoja3 (2)'!B59)</f>
        <v>0</v>
      </c>
      <c r="F59" s="60" t="b">
        <f>EXACT(B59,Hoja1!C65)</f>
        <v>0</v>
      </c>
      <c r="G59" s="60" t="b">
        <f>EXACT(C59,Hoja1!D65)</f>
        <v>0</v>
      </c>
    </row>
    <row r="60" spans="1:7" s="55" customFormat="1" ht="51" x14ac:dyDescent="0.25">
      <c r="A60" s="53">
        <v>1</v>
      </c>
      <c r="B60" s="54" t="s">
        <v>229</v>
      </c>
      <c r="C60" s="55">
        <v>896284.53000000014</v>
      </c>
      <c r="D60" s="60"/>
      <c r="E60" s="62">
        <f>COUNTIF(Hoja1!$C$9:$C$452,'Hoja3 (2)'!B60)</f>
        <v>0</v>
      </c>
      <c r="F60" s="60" t="b">
        <f>EXACT(B60,Hoja1!C66)</f>
        <v>0</v>
      </c>
      <c r="G60" s="60" t="b">
        <f>EXACT(C60,Hoja1!D66)</f>
        <v>0</v>
      </c>
    </row>
    <row r="61" spans="1:7" s="55" customFormat="1" ht="51" x14ac:dyDescent="0.25">
      <c r="A61" s="53">
        <v>2</v>
      </c>
      <c r="B61" s="54" t="s">
        <v>230</v>
      </c>
      <c r="C61" s="55">
        <v>585900</v>
      </c>
      <c r="D61" s="60"/>
      <c r="E61" s="62">
        <f>COUNTIF(Hoja1!$C$9:$C$452,'Hoja3 (2)'!B61)</f>
        <v>0</v>
      </c>
      <c r="F61" s="60" t="b">
        <f>EXACT(B61,Hoja1!C67)</f>
        <v>0</v>
      </c>
      <c r="G61" s="60" t="b">
        <f>EXACT(C61,Hoja1!D67)</f>
        <v>0</v>
      </c>
    </row>
    <row r="62" spans="1:7" s="55" customFormat="1" ht="51" x14ac:dyDescent="0.25">
      <c r="A62" s="53">
        <v>3</v>
      </c>
      <c r="B62" s="54" t="s">
        <v>231</v>
      </c>
      <c r="C62" s="55">
        <v>283500</v>
      </c>
      <c r="D62" s="60"/>
      <c r="E62" s="62">
        <f>COUNTIF(Hoja1!$C$9:$C$452,'Hoja3 (2)'!B62)</f>
        <v>0</v>
      </c>
      <c r="F62" s="60" t="b">
        <f>EXACT(B62,Hoja1!C68)</f>
        <v>0</v>
      </c>
      <c r="G62" s="60" t="b">
        <f>EXACT(C62,Hoja1!D68)</f>
        <v>0</v>
      </c>
    </row>
    <row r="63" spans="1:7" s="55" customFormat="1" ht="51" x14ac:dyDescent="0.25">
      <c r="A63" s="53">
        <v>4</v>
      </c>
      <c r="B63" s="54" t="s">
        <v>232</v>
      </c>
      <c r="C63" s="55">
        <v>236250</v>
      </c>
      <c r="D63" s="60"/>
      <c r="E63" s="62">
        <f>COUNTIF(Hoja1!$C$9:$C$452,'Hoja3 (2)'!B63)</f>
        <v>0</v>
      </c>
      <c r="F63" s="60" t="b">
        <f>EXACT(B63,Hoja1!C69)</f>
        <v>0</v>
      </c>
      <c r="G63" s="60" t="b">
        <f>EXACT(C63,Hoja1!D69)</f>
        <v>0</v>
      </c>
    </row>
    <row r="64" spans="1:7" s="55" customFormat="1" ht="51" x14ac:dyDescent="0.25">
      <c r="A64" s="53">
        <v>5</v>
      </c>
      <c r="B64" s="54" t="s">
        <v>233</v>
      </c>
      <c r="C64" s="55">
        <v>189000</v>
      </c>
      <c r="D64" s="60"/>
      <c r="E64" s="62">
        <f>COUNTIF(Hoja1!$C$9:$C$452,'Hoja3 (2)'!B64)</f>
        <v>0</v>
      </c>
      <c r="F64" s="60" t="b">
        <f>EXACT(B64,Hoja1!C70)</f>
        <v>0</v>
      </c>
      <c r="G64" s="60" t="b">
        <f>EXACT(C64,Hoja1!D70)</f>
        <v>0</v>
      </c>
    </row>
    <row r="65" spans="1:7" s="55" customFormat="1" ht="63.75" x14ac:dyDescent="0.25">
      <c r="A65" s="53">
        <v>6</v>
      </c>
      <c r="B65" s="54" t="s">
        <v>234</v>
      </c>
      <c r="C65" s="55">
        <v>283500</v>
      </c>
      <c r="D65" s="60"/>
      <c r="E65" s="62">
        <f>COUNTIF(Hoja1!$C$9:$C$452,'Hoja3 (2)'!B65)</f>
        <v>0</v>
      </c>
      <c r="F65" s="60" t="b">
        <f>EXACT(B65,Hoja1!C71)</f>
        <v>0</v>
      </c>
      <c r="G65" s="60" t="b">
        <f>EXACT(C65,Hoja1!D71)</f>
        <v>0</v>
      </c>
    </row>
    <row r="66" spans="1:7" s="55" customFormat="1" ht="38.25" x14ac:dyDescent="0.25">
      <c r="A66" s="53">
        <v>7</v>
      </c>
      <c r="B66" s="54" t="s">
        <v>235</v>
      </c>
      <c r="C66" s="55">
        <v>141750</v>
      </c>
      <c r="D66" s="60"/>
      <c r="E66" s="62">
        <f>COUNTIF(Hoja1!$C$9:$C$452,'Hoja3 (2)'!B66)</f>
        <v>0</v>
      </c>
      <c r="F66" s="60" t="b">
        <f>EXACT(B66,Hoja1!C72)</f>
        <v>0</v>
      </c>
      <c r="G66" s="60" t="b">
        <f>EXACT(C66,Hoja1!D72)</f>
        <v>0</v>
      </c>
    </row>
    <row r="67" spans="1:7" s="55" customFormat="1" ht="51" x14ac:dyDescent="0.25">
      <c r="A67" s="53">
        <v>8</v>
      </c>
      <c r="B67" s="54" t="s">
        <v>236</v>
      </c>
      <c r="C67" s="55">
        <v>122850</v>
      </c>
      <c r="D67" s="60"/>
      <c r="E67" s="62">
        <f>COUNTIF(Hoja1!$C$9:$C$452,'Hoja3 (2)'!B67)</f>
        <v>0</v>
      </c>
      <c r="F67" s="60" t="b">
        <f>EXACT(B67,Hoja1!C73)</f>
        <v>0</v>
      </c>
      <c r="G67" s="60" t="b">
        <f>EXACT(C67,Hoja1!D73)</f>
        <v>0</v>
      </c>
    </row>
    <row r="68" spans="1:7" s="55" customFormat="1" ht="38.25" x14ac:dyDescent="0.25">
      <c r="A68" s="53">
        <v>9</v>
      </c>
      <c r="B68" s="54" t="s">
        <v>237</v>
      </c>
      <c r="C68" s="55">
        <v>75600</v>
      </c>
      <c r="D68" s="60"/>
      <c r="E68" s="62">
        <f>COUNTIF(Hoja1!$C$9:$C$452,'Hoja3 (2)'!B68)</f>
        <v>0</v>
      </c>
      <c r="F68" s="60" t="b">
        <f>EXACT(B68,Hoja1!C74)</f>
        <v>0</v>
      </c>
      <c r="G68" s="60" t="b">
        <f>EXACT(C68,Hoja1!D74)</f>
        <v>0</v>
      </c>
    </row>
    <row r="69" spans="1:7" s="55" customFormat="1" ht="51" x14ac:dyDescent="0.25">
      <c r="A69" s="53">
        <v>10</v>
      </c>
      <c r="B69" s="54" t="s">
        <v>238</v>
      </c>
      <c r="C69" s="55">
        <v>94500</v>
      </c>
      <c r="D69" s="60"/>
      <c r="E69" s="62">
        <f>COUNTIF(Hoja1!$C$9:$C$452,'Hoja3 (2)'!B69)</f>
        <v>0</v>
      </c>
      <c r="F69" s="60" t="b">
        <f>EXACT(B69,Hoja1!C75)</f>
        <v>0</v>
      </c>
      <c r="G69" s="60" t="b">
        <f>EXACT(C69,Hoja1!D75)</f>
        <v>0</v>
      </c>
    </row>
    <row r="70" spans="1:7" s="55" customFormat="1" ht="51" x14ac:dyDescent="0.25">
      <c r="A70" s="53">
        <v>11</v>
      </c>
      <c r="B70" s="54" t="s">
        <v>239</v>
      </c>
      <c r="C70" s="55">
        <v>28350</v>
      </c>
      <c r="D70" s="60"/>
      <c r="E70" s="62">
        <f>COUNTIF(Hoja1!$C$9:$C$452,'Hoja3 (2)'!B70)</f>
        <v>0</v>
      </c>
      <c r="F70" s="60" t="b">
        <f>EXACT(B70,Hoja1!C76)</f>
        <v>0</v>
      </c>
      <c r="G70" s="60" t="b">
        <f>EXACT(C70,Hoja1!D76)</f>
        <v>0</v>
      </c>
    </row>
    <row r="71" spans="1:7" s="55" customFormat="1" ht="51" x14ac:dyDescent="0.25">
      <c r="A71" s="53">
        <v>12</v>
      </c>
      <c r="B71" s="54" t="s">
        <v>240</v>
      </c>
      <c r="C71" s="55">
        <v>66150</v>
      </c>
      <c r="D71" s="60"/>
      <c r="E71" s="62">
        <f>COUNTIF(Hoja1!$C$9:$C$452,'Hoja3 (2)'!B71)</f>
        <v>0</v>
      </c>
      <c r="F71" s="60" t="b">
        <f>EXACT(B71,Hoja1!C77)</f>
        <v>0</v>
      </c>
      <c r="G71" s="60" t="b">
        <f>EXACT(C71,Hoja1!D77)</f>
        <v>0</v>
      </c>
    </row>
    <row r="72" spans="1:7" s="55" customFormat="1" ht="38.25" x14ac:dyDescent="0.25">
      <c r="A72" s="53">
        <v>13</v>
      </c>
      <c r="B72" s="54" t="s">
        <v>241</v>
      </c>
      <c r="C72" s="55">
        <v>47250</v>
      </c>
      <c r="D72" s="60"/>
      <c r="E72" s="62">
        <f>COUNTIF(Hoja1!$C$9:$C$452,'Hoja3 (2)'!B72)</f>
        <v>0</v>
      </c>
      <c r="F72" s="60" t="b">
        <f>EXACT(B72,Hoja1!C78)</f>
        <v>0</v>
      </c>
      <c r="G72" s="60" t="b">
        <f>EXACT(C72,Hoja1!D78)</f>
        <v>0</v>
      </c>
    </row>
    <row r="73" spans="1:7" s="55" customFormat="1" ht="51" x14ac:dyDescent="0.25">
      <c r="A73" s="53">
        <v>14</v>
      </c>
      <c r="B73" s="54" t="s">
        <v>242</v>
      </c>
      <c r="C73" s="55">
        <v>47250</v>
      </c>
      <c r="D73" s="60"/>
      <c r="E73" s="62">
        <f>COUNTIF(Hoja1!$C$9:$C$452,'Hoja3 (2)'!B73)</f>
        <v>0</v>
      </c>
      <c r="F73" s="60" t="b">
        <f>EXACT(B73,Hoja1!C79)</f>
        <v>0</v>
      </c>
      <c r="G73" s="60" t="b">
        <f>EXACT(C73,Hoja1!D79)</f>
        <v>0</v>
      </c>
    </row>
    <row r="74" spans="1:7" s="55" customFormat="1" ht="51" x14ac:dyDescent="0.25">
      <c r="A74" s="53">
        <v>15</v>
      </c>
      <c r="B74" s="54" t="s">
        <v>243</v>
      </c>
      <c r="C74" s="55">
        <v>94500</v>
      </c>
      <c r="D74" s="60"/>
      <c r="E74" s="62">
        <f>COUNTIF(Hoja1!$C$9:$C$452,'Hoja3 (2)'!B74)</f>
        <v>0</v>
      </c>
      <c r="F74" s="60" t="b">
        <f>EXACT(B74,Hoja1!C80)</f>
        <v>0</v>
      </c>
      <c r="G74" s="60" t="b">
        <f>EXACT(C74,Hoja1!D80)</f>
        <v>0</v>
      </c>
    </row>
    <row r="75" spans="1:7" s="55" customFormat="1" ht="51" x14ac:dyDescent="0.25">
      <c r="A75" s="53">
        <v>16</v>
      </c>
      <c r="B75" s="54" t="s">
        <v>244</v>
      </c>
      <c r="C75" s="55">
        <v>94500</v>
      </c>
      <c r="D75" s="60"/>
      <c r="E75" s="62">
        <f>COUNTIF(Hoja1!$C$9:$C$452,'Hoja3 (2)'!B75)</f>
        <v>0</v>
      </c>
      <c r="F75" s="60" t="b">
        <f>EXACT(B75,Hoja1!C81)</f>
        <v>0</v>
      </c>
      <c r="G75" s="60" t="b">
        <f>EXACT(C75,Hoja1!D81)</f>
        <v>0</v>
      </c>
    </row>
    <row r="76" spans="1:7" s="55" customFormat="1" ht="51" x14ac:dyDescent="0.25">
      <c r="A76" s="53">
        <v>17</v>
      </c>
      <c r="B76" s="54" t="s">
        <v>245</v>
      </c>
      <c r="C76" s="55">
        <v>236250</v>
      </c>
      <c r="D76" s="60"/>
      <c r="E76" s="62">
        <f>COUNTIF(Hoja1!$C$9:$C$452,'Hoja3 (2)'!B76)</f>
        <v>0</v>
      </c>
      <c r="F76" s="60" t="b">
        <f>EXACT(B76,Hoja1!C82)</f>
        <v>0</v>
      </c>
      <c r="G76" s="60" t="b">
        <f>EXACT(C76,Hoja1!D82)</f>
        <v>0</v>
      </c>
    </row>
    <row r="77" spans="1:7" s="55" customFormat="1" ht="51" x14ac:dyDescent="0.25">
      <c r="A77" s="53">
        <v>18</v>
      </c>
      <c r="B77" s="54" t="s">
        <v>246</v>
      </c>
      <c r="C77" s="55">
        <v>75600</v>
      </c>
      <c r="D77" s="60"/>
      <c r="E77" s="62">
        <f>COUNTIF(Hoja1!$C$9:$C$452,'Hoja3 (2)'!B77)</f>
        <v>0</v>
      </c>
      <c r="F77" s="60" t="b">
        <f>EXACT(B77,Hoja1!C83)</f>
        <v>0</v>
      </c>
      <c r="G77" s="60" t="b">
        <f>EXACT(C77,Hoja1!D83)</f>
        <v>0</v>
      </c>
    </row>
    <row r="78" spans="1:7" s="55" customFormat="1" ht="51" x14ac:dyDescent="0.25">
      <c r="A78" s="53">
        <v>19</v>
      </c>
      <c r="B78" s="54" t="s">
        <v>247</v>
      </c>
      <c r="C78" s="55">
        <v>94500</v>
      </c>
      <c r="D78" s="60"/>
      <c r="E78" s="62">
        <f>COUNTIF(Hoja1!$C$9:$C$452,'Hoja3 (2)'!B78)</f>
        <v>0</v>
      </c>
      <c r="F78" s="60" t="b">
        <f>EXACT(B78,Hoja1!C84)</f>
        <v>0</v>
      </c>
      <c r="G78" s="60" t="b">
        <f>EXACT(C78,Hoja1!D84)</f>
        <v>0</v>
      </c>
    </row>
    <row r="79" spans="1:7" s="55" customFormat="1" ht="38.25" hidden="1" x14ac:dyDescent="0.25">
      <c r="A79" s="53">
        <v>1</v>
      </c>
      <c r="B79" s="54" t="s">
        <v>248</v>
      </c>
      <c r="C79" s="55">
        <v>150000</v>
      </c>
      <c r="D79" s="60"/>
      <c r="E79" s="62">
        <f>COUNTIF(Hoja1!$C$9:$C$452,'Hoja3 (2)'!B79)</f>
        <v>1</v>
      </c>
      <c r="F79" s="60" t="b">
        <f>EXACT(B79,Hoja1!C85)</f>
        <v>0</v>
      </c>
      <c r="G79" s="60" t="b">
        <f>EXACT(C79,Hoja1!D85)</f>
        <v>0</v>
      </c>
    </row>
    <row r="80" spans="1:7" s="55" customFormat="1" ht="38.25" hidden="1" x14ac:dyDescent="0.25">
      <c r="A80" s="53">
        <v>2</v>
      </c>
      <c r="B80" s="54" t="s">
        <v>249</v>
      </c>
      <c r="C80" s="55">
        <v>75000</v>
      </c>
      <c r="D80" s="60"/>
      <c r="E80" s="62">
        <f>COUNTIF(Hoja1!$C$9:$C$452,'Hoja3 (2)'!B80)</f>
        <v>1</v>
      </c>
      <c r="F80" s="60" t="b">
        <f>EXACT(B80,Hoja1!C86)</f>
        <v>0</v>
      </c>
      <c r="G80" s="60" t="b">
        <f>EXACT(C80,Hoja1!D86)</f>
        <v>0</v>
      </c>
    </row>
    <row r="81" spans="1:7" s="55" customFormat="1" ht="38.25" hidden="1" x14ac:dyDescent="0.25">
      <c r="A81" s="53">
        <v>3</v>
      </c>
      <c r="B81" s="54" t="s">
        <v>250</v>
      </c>
      <c r="C81" s="55">
        <v>87500</v>
      </c>
      <c r="D81" s="60"/>
      <c r="E81" s="62">
        <f>COUNTIF(Hoja1!$C$9:$C$452,'Hoja3 (2)'!B81)</f>
        <v>0</v>
      </c>
      <c r="F81" s="60" t="b">
        <f>EXACT(B81,Hoja1!C87)</f>
        <v>0</v>
      </c>
      <c r="G81" s="60" t="b">
        <f>EXACT(C81,Hoja1!D87)</f>
        <v>0</v>
      </c>
    </row>
    <row r="82" spans="1:7" s="55" customFormat="1" ht="38.25" hidden="1" x14ac:dyDescent="0.25">
      <c r="A82" s="53">
        <v>4</v>
      </c>
      <c r="B82" s="54" t="s">
        <v>251</v>
      </c>
      <c r="C82" s="55">
        <v>100000</v>
      </c>
      <c r="D82" s="60"/>
      <c r="E82" s="62">
        <f>COUNTIF(Hoja1!$C$9:$C$452,'Hoja3 (2)'!B82)</f>
        <v>0</v>
      </c>
      <c r="F82" s="60" t="b">
        <f>EXACT(B82,Hoja1!C88)</f>
        <v>0</v>
      </c>
      <c r="G82" s="60" t="b">
        <f>EXACT(C82,Hoja1!D88)</f>
        <v>0</v>
      </c>
    </row>
    <row r="83" spans="1:7" s="55" customFormat="1" ht="38.25" hidden="1" x14ac:dyDescent="0.25">
      <c r="A83" s="53">
        <v>5</v>
      </c>
      <c r="B83" s="54" t="s">
        <v>252</v>
      </c>
      <c r="C83" s="55">
        <v>100000</v>
      </c>
      <c r="D83" s="60"/>
      <c r="E83" s="62">
        <f>COUNTIF(Hoja1!$C$9:$C$452,'Hoja3 (2)'!B83)</f>
        <v>0</v>
      </c>
      <c r="F83" s="60" t="b">
        <f>EXACT(B83,Hoja1!C89)</f>
        <v>0</v>
      </c>
      <c r="G83" s="60" t="b">
        <f>EXACT(C83,Hoja1!D89)</f>
        <v>0</v>
      </c>
    </row>
    <row r="84" spans="1:7" s="55" customFormat="1" ht="38.25" hidden="1" x14ac:dyDescent="0.25">
      <c r="A84" s="53">
        <v>6</v>
      </c>
      <c r="B84" s="54" t="s">
        <v>253</v>
      </c>
      <c r="C84" s="55">
        <v>80000</v>
      </c>
      <c r="D84" s="60"/>
      <c r="E84" s="62">
        <f>COUNTIF(Hoja1!$C$9:$C$452,'Hoja3 (2)'!B84)</f>
        <v>0</v>
      </c>
      <c r="F84" s="60" t="b">
        <f>EXACT(B84,Hoja1!C90)</f>
        <v>0</v>
      </c>
      <c r="G84" s="60" t="b">
        <f>EXACT(C84,Hoja1!D90)</f>
        <v>0</v>
      </c>
    </row>
    <row r="85" spans="1:7" s="55" customFormat="1" ht="51" hidden="1" x14ac:dyDescent="0.25">
      <c r="A85" s="53">
        <v>7</v>
      </c>
      <c r="B85" s="54" t="s">
        <v>254</v>
      </c>
      <c r="C85" s="55">
        <v>75000</v>
      </c>
      <c r="D85" s="60"/>
      <c r="E85" s="62">
        <f>COUNTIF(Hoja1!$C$9:$C$452,'Hoja3 (2)'!B85)</f>
        <v>0</v>
      </c>
      <c r="F85" s="60" t="b">
        <f>EXACT(B85,Hoja1!C91)</f>
        <v>0</v>
      </c>
      <c r="G85" s="60" t="b">
        <f>EXACT(C85,Hoja1!D91)</f>
        <v>0</v>
      </c>
    </row>
    <row r="86" spans="1:7" s="55" customFormat="1" ht="38.25" hidden="1" x14ac:dyDescent="0.25">
      <c r="A86" s="53">
        <v>8</v>
      </c>
      <c r="B86" s="54" t="s">
        <v>255</v>
      </c>
      <c r="C86" s="55">
        <v>75000</v>
      </c>
      <c r="D86" s="60"/>
      <c r="E86" s="62">
        <f>COUNTIF(Hoja1!$C$9:$C$452,'Hoja3 (2)'!B86)</f>
        <v>0</v>
      </c>
      <c r="F86" s="60" t="b">
        <f>EXACT(B86,Hoja1!C92)</f>
        <v>0</v>
      </c>
      <c r="G86" s="60" t="b">
        <f>EXACT(C86,Hoja1!D92)</f>
        <v>1</v>
      </c>
    </row>
    <row r="87" spans="1:7" s="55" customFormat="1" ht="38.25" hidden="1" x14ac:dyDescent="0.25">
      <c r="A87" s="53">
        <v>9</v>
      </c>
      <c r="B87" s="54" t="s">
        <v>256</v>
      </c>
      <c r="C87" s="55">
        <v>50000</v>
      </c>
      <c r="D87" s="60"/>
      <c r="E87" s="62">
        <f>COUNTIF(Hoja1!$C$9:$C$452,'Hoja3 (2)'!B87)</f>
        <v>0</v>
      </c>
      <c r="F87" s="60" t="b">
        <f>EXACT(B87,Hoja1!C93)</f>
        <v>0</v>
      </c>
      <c r="G87" s="60" t="b">
        <f>EXACT(C87,Hoja1!D93)</f>
        <v>0</v>
      </c>
    </row>
    <row r="88" spans="1:7" s="55" customFormat="1" ht="38.25" hidden="1" x14ac:dyDescent="0.25">
      <c r="A88" s="53">
        <v>10</v>
      </c>
      <c r="B88" s="54" t="s">
        <v>257</v>
      </c>
      <c r="C88" s="55">
        <v>50000</v>
      </c>
      <c r="D88" s="60"/>
      <c r="E88" s="62">
        <f>COUNTIF(Hoja1!$C$9:$C$452,'Hoja3 (2)'!B88)</f>
        <v>1</v>
      </c>
      <c r="F88" s="60" t="b">
        <f>EXACT(B88,Hoja1!C94)</f>
        <v>0</v>
      </c>
      <c r="G88" s="60" t="b">
        <f>EXACT(C88,Hoja1!D94)</f>
        <v>0</v>
      </c>
    </row>
    <row r="89" spans="1:7" s="55" customFormat="1" ht="38.25" hidden="1" x14ac:dyDescent="0.25">
      <c r="A89" s="53">
        <v>11</v>
      </c>
      <c r="B89" s="54" t="s">
        <v>258</v>
      </c>
      <c r="C89" s="55">
        <v>45000</v>
      </c>
      <c r="D89" s="60"/>
      <c r="E89" s="62">
        <f>COUNTIF(Hoja1!$C$9:$C$452,'Hoja3 (2)'!B89)</f>
        <v>0</v>
      </c>
      <c r="F89" s="60" t="b">
        <f>EXACT(B89,Hoja1!C95)</f>
        <v>0</v>
      </c>
      <c r="G89" s="60" t="b">
        <f>EXACT(C89,Hoja1!D95)</f>
        <v>0</v>
      </c>
    </row>
    <row r="90" spans="1:7" s="55" customFormat="1" ht="38.25" hidden="1" x14ac:dyDescent="0.25">
      <c r="A90" s="53">
        <v>12</v>
      </c>
      <c r="B90" s="54" t="s">
        <v>259</v>
      </c>
      <c r="C90" s="55">
        <v>32500</v>
      </c>
      <c r="D90" s="60"/>
      <c r="E90" s="62">
        <f>COUNTIF(Hoja1!$C$9:$C$452,'Hoja3 (2)'!B90)</f>
        <v>0</v>
      </c>
      <c r="F90" s="60" t="b">
        <f>EXACT(B90,Hoja1!C96)</f>
        <v>0</v>
      </c>
      <c r="G90" s="60" t="b">
        <f>EXACT(C90,Hoja1!D96)</f>
        <v>0</v>
      </c>
    </row>
    <row r="91" spans="1:7" s="55" customFormat="1" ht="38.25" hidden="1" x14ac:dyDescent="0.25">
      <c r="A91" s="53">
        <v>13</v>
      </c>
      <c r="B91" s="54" t="s">
        <v>260</v>
      </c>
      <c r="C91" s="55">
        <v>15000</v>
      </c>
      <c r="D91" s="60"/>
      <c r="E91" s="62">
        <f>COUNTIF(Hoja1!$C$9:$C$452,'Hoja3 (2)'!B91)</f>
        <v>0</v>
      </c>
      <c r="F91" s="60" t="b">
        <f>EXACT(B91,Hoja1!C97)</f>
        <v>0</v>
      </c>
      <c r="G91" s="60" t="b">
        <f>EXACT(C91,Hoja1!D97)</f>
        <v>0</v>
      </c>
    </row>
    <row r="92" spans="1:7" s="55" customFormat="1" ht="38.25" hidden="1" x14ac:dyDescent="0.25">
      <c r="A92" s="53">
        <v>14</v>
      </c>
      <c r="B92" s="54" t="s">
        <v>261</v>
      </c>
      <c r="C92" s="55">
        <v>62500</v>
      </c>
      <c r="D92" s="60"/>
      <c r="E92" s="62">
        <f>COUNTIF(Hoja1!$C$9:$C$452,'Hoja3 (2)'!B92)</f>
        <v>0</v>
      </c>
      <c r="F92" s="60" t="b">
        <f>EXACT(B92,Hoja1!C98)</f>
        <v>0</v>
      </c>
      <c r="G92" s="60" t="b">
        <f>EXACT(C92,Hoja1!D98)</f>
        <v>0</v>
      </c>
    </row>
    <row r="93" spans="1:7" s="55" customFormat="1" ht="38.25" hidden="1" x14ac:dyDescent="0.25">
      <c r="A93" s="53">
        <v>15</v>
      </c>
      <c r="B93" s="54" t="s">
        <v>262</v>
      </c>
      <c r="C93" s="55">
        <v>32500</v>
      </c>
      <c r="D93" s="60"/>
      <c r="E93" s="62">
        <f>COUNTIF(Hoja1!$C$9:$C$452,'Hoja3 (2)'!B93)</f>
        <v>1</v>
      </c>
      <c r="F93" s="60" t="b">
        <f>EXACT(B93,Hoja1!C99)</f>
        <v>0</v>
      </c>
      <c r="G93" s="60" t="b">
        <f>EXACT(C93,Hoja1!D99)</f>
        <v>0</v>
      </c>
    </row>
    <row r="94" spans="1:7" s="55" customFormat="1" ht="51" hidden="1" x14ac:dyDescent="0.25">
      <c r="A94" s="53">
        <v>16</v>
      </c>
      <c r="B94" s="54" t="s">
        <v>263</v>
      </c>
      <c r="C94" s="55">
        <v>25000</v>
      </c>
      <c r="D94" s="60"/>
      <c r="E94" s="62">
        <f>COUNTIF(Hoja1!$C$9:$C$452,'Hoja3 (2)'!B94)</f>
        <v>0</v>
      </c>
      <c r="F94" s="60" t="b">
        <f>EXACT(B94,Hoja1!C100)</f>
        <v>0</v>
      </c>
      <c r="G94" s="60" t="b">
        <f>EXACT(C94,Hoja1!D100)</f>
        <v>0</v>
      </c>
    </row>
    <row r="95" spans="1:7" s="55" customFormat="1" ht="38.25" hidden="1" x14ac:dyDescent="0.25">
      <c r="A95" s="53">
        <v>17</v>
      </c>
      <c r="B95" s="54" t="s">
        <v>264</v>
      </c>
      <c r="C95" s="55">
        <v>12500</v>
      </c>
      <c r="D95" s="60"/>
      <c r="E95" s="62">
        <f>COUNTIF(Hoja1!$C$9:$C$452,'Hoja3 (2)'!B95)</f>
        <v>1</v>
      </c>
      <c r="F95" s="60" t="b">
        <f>EXACT(B95,Hoja1!C101)</f>
        <v>0</v>
      </c>
      <c r="G95" s="60" t="b">
        <f>EXACT(C95,Hoja1!D101)</f>
        <v>0</v>
      </c>
    </row>
    <row r="96" spans="1:7" s="55" customFormat="1" ht="38.25" hidden="1" x14ac:dyDescent="0.25">
      <c r="A96" s="53">
        <v>18</v>
      </c>
      <c r="B96" s="54" t="s">
        <v>265</v>
      </c>
      <c r="C96" s="55">
        <v>12500</v>
      </c>
      <c r="D96" s="60"/>
      <c r="E96" s="62">
        <f>COUNTIF(Hoja1!$C$9:$C$452,'Hoja3 (2)'!B96)</f>
        <v>0</v>
      </c>
      <c r="F96" s="60" t="b">
        <f>EXACT(B96,Hoja1!C102)</f>
        <v>0</v>
      </c>
      <c r="G96" s="60" t="b">
        <f>EXACT(C96,Hoja1!D102)</f>
        <v>0</v>
      </c>
    </row>
    <row r="97" spans="1:7" s="55" customFormat="1" ht="38.25" hidden="1" x14ac:dyDescent="0.25">
      <c r="A97" s="53">
        <v>19</v>
      </c>
      <c r="B97" s="54" t="s">
        <v>266</v>
      </c>
      <c r="C97" s="55">
        <v>27500</v>
      </c>
      <c r="D97" s="60"/>
      <c r="E97" s="62">
        <f>COUNTIF(Hoja1!$C$9:$C$452,'Hoja3 (2)'!B97)</f>
        <v>1</v>
      </c>
      <c r="F97" s="60" t="b">
        <f>EXACT(B97,Hoja1!C103)</f>
        <v>0</v>
      </c>
      <c r="G97" s="60" t="b">
        <f>EXACT(C97,Hoja1!D103)</f>
        <v>0</v>
      </c>
    </row>
    <row r="98" spans="1:7" s="55" customFormat="1" ht="38.25" hidden="1" x14ac:dyDescent="0.25">
      <c r="A98" s="53">
        <v>20</v>
      </c>
      <c r="B98" s="54" t="s">
        <v>267</v>
      </c>
      <c r="C98" s="55">
        <v>7500</v>
      </c>
      <c r="D98" s="60"/>
      <c r="E98" s="62">
        <f>COUNTIF(Hoja1!$C$9:$C$452,'Hoja3 (2)'!B98)</f>
        <v>0</v>
      </c>
      <c r="F98" s="60" t="b">
        <f>EXACT(B98,Hoja1!C104)</f>
        <v>0</v>
      </c>
      <c r="G98" s="60" t="b">
        <f>EXACT(C98,Hoja1!D104)</f>
        <v>0</v>
      </c>
    </row>
    <row r="99" spans="1:7" s="55" customFormat="1" ht="38.25" hidden="1" x14ac:dyDescent="0.25">
      <c r="A99" s="53">
        <v>21</v>
      </c>
      <c r="B99" s="54" t="s">
        <v>268</v>
      </c>
      <c r="C99" s="55">
        <v>15000</v>
      </c>
      <c r="D99" s="60"/>
      <c r="E99" s="62">
        <f>COUNTIF(Hoja1!$C$9:$C$452,'Hoja3 (2)'!B99)</f>
        <v>1</v>
      </c>
      <c r="F99" s="60" t="b">
        <f>EXACT(B99,Hoja1!C105)</f>
        <v>0</v>
      </c>
      <c r="G99" s="60" t="b">
        <f>EXACT(C99,Hoja1!D105)</f>
        <v>0</v>
      </c>
    </row>
    <row r="100" spans="1:7" s="55" customFormat="1" ht="38.25" hidden="1" x14ac:dyDescent="0.25">
      <c r="A100" s="53">
        <v>22</v>
      </c>
      <c r="B100" s="54" t="s">
        <v>269</v>
      </c>
      <c r="C100" s="55">
        <v>17500</v>
      </c>
      <c r="D100" s="60"/>
      <c r="E100" s="62">
        <f>COUNTIF(Hoja1!$C$9:$C$452,'Hoja3 (2)'!B100)</f>
        <v>0</v>
      </c>
      <c r="F100" s="60" t="b">
        <f>EXACT(B100,Hoja1!C106)</f>
        <v>0</v>
      </c>
      <c r="G100" s="60" t="b">
        <f>EXACT(C100,Hoja1!D106)</f>
        <v>0</v>
      </c>
    </row>
    <row r="101" spans="1:7" s="55" customFormat="1" ht="38.25" hidden="1" x14ac:dyDescent="0.25">
      <c r="A101" s="53">
        <v>23</v>
      </c>
      <c r="B101" s="54" t="s">
        <v>270</v>
      </c>
      <c r="C101" s="55">
        <v>55000</v>
      </c>
      <c r="D101" s="60"/>
      <c r="E101" s="62">
        <f>COUNTIF(Hoja1!$C$9:$C$452,'Hoja3 (2)'!B101)</f>
        <v>1</v>
      </c>
      <c r="F101" s="60" t="b">
        <f>EXACT(B101,Hoja1!C107)</f>
        <v>0</v>
      </c>
      <c r="G101" s="60" t="b">
        <f>EXACT(C101,Hoja1!D107)</f>
        <v>0</v>
      </c>
    </row>
    <row r="102" spans="1:7" s="55" customFormat="1" ht="38.25" hidden="1" x14ac:dyDescent="0.25">
      <c r="A102" s="53">
        <v>24</v>
      </c>
      <c r="B102" s="54" t="s">
        <v>271</v>
      </c>
      <c r="C102" s="55">
        <v>62500</v>
      </c>
      <c r="D102" s="60"/>
      <c r="E102" s="62">
        <f>COUNTIF(Hoja1!$C$9:$C$452,'Hoja3 (2)'!B102)</f>
        <v>0</v>
      </c>
      <c r="F102" s="60" t="b">
        <f>EXACT(B102,Hoja1!C108)</f>
        <v>0</v>
      </c>
      <c r="G102" s="60" t="b">
        <f>EXACT(C102,Hoja1!D108)</f>
        <v>0</v>
      </c>
    </row>
    <row r="103" spans="1:7" s="55" customFormat="1" ht="38.25" hidden="1" x14ac:dyDescent="0.25">
      <c r="A103" s="53">
        <v>25</v>
      </c>
      <c r="B103" s="54" t="s">
        <v>272</v>
      </c>
      <c r="C103" s="55">
        <v>25000</v>
      </c>
      <c r="D103" s="60"/>
      <c r="E103" s="62">
        <f>COUNTIF(Hoja1!$C$9:$C$452,'Hoja3 (2)'!B103)</f>
        <v>0</v>
      </c>
      <c r="F103" s="60" t="b">
        <f>EXACT(B103,Hoja1!C109)</f>
        <v>0</v>
      </c>
      <c r="G103" s="60" t="b">
        <f>EXACT(C103,Hoja1!D109)</f>
        <v>0</v>
      </c>
    </row>
    <row r="104" spans="1:7" s="55" customFormat="1" ht="38.25" hidden="1" x14ac:dyDescent="0.25">
      <c r="A104" s="53">
        <v>26</v>
      </c>
      <c r="B104" s="54" t="s">
        <v>273</v>
      </c>
      <c r="C104" s="55">
        <v>62500</v>
      </c>
      <c r="D104" s="60"/>
      <c r="E104" s="62">
        <f>COUNTIF(Hoja1!$C$9:$C$452,'Hoja3 (2)'!B104)</f>
        <v>1</v>
      </c>
      <c r="F104" s="60" t="b">
        <f>EXACT(B104,Hoja1!C110)</f>
        <v>0</v>
      </c>
      <c r="G104" s="60" t="b">
        <f>EXACT(C104,Hoja1!D110)</f>
        <v>0</v>
      </c>
    </row>
    <row r="105" spans="1:7" s="55" customFormat="1" ht="51" hidden="1" x14ac:dyDescent="0.25">
      <c r="A105" s="53">
        <v>27</v>
      </c>
      <c r="B105" s="54" t="s">
        <v>274</v>
      </c>
      <c r="C105" s="55">
        <v>25000</v>
      </c>
      <c r="D105" s="60"/>
      <c r="E105" s="62">
        <f>COUNTIF(Hoja1!$C$9:$C$452,'Hoja3 (2)'!B105)</f>
        <v>0</v>
      </c>
      <c r="F105" s="60" t="b">
        <f>EXACT(B105,Hoja1!C111)</f>
        <v>0</v>
      </c>
      <c r="G105" s="60" t="b">
        <f>EXACT(C105,Hoja1!D111)</f>
        <v>0</v>
      </c>
    </row>
    <row r="106" spans="1:7" s="55" customFormat="1" ht="38.25" hidden="1" x14ac:dyDescent="0.25">
      <c r="A106" s="53">
        <v>28</v>
      </c>
      <c r="B106" s="54" t="s">
        <v>275</v>
      </c>
      <c r="C106" s="55">
        <v>90000</v>
      </c>
      <c r="D106" s="60"/>
      <c r="E106" s="62">
        <f>COUNTIF(Hoja1!$C$9:$C$452,'Hoja3 (2)'!B106)</f>
        <v>0</v>
      </c>
      <c r="F106" s="60" t="b">
        <f>EXACT(B106,Hoja1!C112)</f>
        <v>0</v>
      </c>
      <c r="G106" s="60" t="b">
        <f>EXACT(C106,Hoja1!D112)</f>
        <v>0</v>
      </c>
    </row>
    <row r="107" spans="1:7" s="55" customFormat="1" ht="38.25" hidden="1" x14ac:dyDescent="0.25">
      <c r="A107" s="53">
        <v>29</v>
      </c>
      <c r="B107" s="54" t="s">
        <v>276</v>
      </c>
      <c r="C107" s="55">
        <v>40000</v>
      </c>
      <c r="D107" s="60"/>
      <c r="E107" s="62">
        <f>COUNTIF(Hoja1!$C$9:$C$452,'Hoja3 (2)'!B107)</f>
        <v>0</v>
      </c>
      <c r="F107" s="60" t="b">
        <f>EXACT(B107,Hoja1!C113)</f>
        <v>0</v>
      </c>
      <c r="G107" s="60" t="b">
        <f>EXACT(C107,Hoja1!D113)</f>
        <v>0</v>
      </c>
    </row>
    <row r="108" spans="1:7" s="55" customFormat="1" ht="38.25" hidden="1" x14ac:dyDescent="0.25">
      <c r="A108" s="53">
        <v>30</v>
      </c>
      <c r="B108" s="54" t="s">
        <v>277</v>
      </c>
      <c r="C108" s="55">
        <v>20000</v>
      </c>
      <c r="D108" s="60"/>
      <c r="E108" s="62">
        <f>COUNTIF(Hoja1!$C$9:$C$452,'Hoja3 (2)'!B108)</f>
        <v>0</v>
      </c>
      <c r="F108" s="60" t="b">
        <f>EXACT(B108,Hoja1!C114)</f>
        <v>0</v>
      </c>
      <c r="G108" s="60" t="b">
        <f>EXACT(C108,Hoja1!D114)</f>
        <v>0</v>
      </c>
    </row>
    <row r="109" spans="1:7" s="55" customFormat="1" ht="38.25" hidden="1" x14ac:dyDescent="0.25">
      <c r="A109" s="53">
        <v>31</v>
      </c>
      <c r="B109" s="54" t="s">
        <v>278</v>
      </c>
      <c r="C109" s="55">
        <v>47500</v>
      </c>
      <c r="D109" s="60"/>
      <c r="E109" s="62">
        <f>COUNTIF(Hoja1!$C$9:$C$452,'Hoja3 (2)'!B109)</f>
        <v>1</v>
      </c>
      <c r="F109" s="60" t="b">
        <f>EXACT(B109,Hoja1!C115)</f>
        <v>0</v>
      </c>
      <c r="G109" s="60" t="b">
        <f>EXACT(C109,Hoja1!D115)</f>
        <v>0</v>
      </c>
    </row>
    <row r="110" spans="1:7" s="55" customFormat="1" ht="38.25" hidden="1" x14ac:dyDescent="0.25">
      <c r="A110" s="53">
        <v>1</v>
      </c>
      <c r="B110" s="54" t="s">
        <v>279</v>
      </c>
      <c r="C110" s="55">
        <v>96908.93</v>
      </c>
      <c r="D110" s="60"/>
      <c r="E110" s="62">
        <f>COUNTIF(Hoja1!$C$9:$C$452,'Hoja3 (2)'!B110)</f>
        <v>0</v>
      </c>
      <c r="F110" s="60" t="b">
        <f>EXACT(B110,Hoja1!C117)</f>
        <v>0</v>
      </c>
      <c r="G110" s="60" t="b">
        <f>EXACT(C110,Hoja1!D117)</f>
        <v>0</v>
      </c>
    </row>
    <row r="111" spans="1:7" s="55" customFormat="1" ht="38.25" hidden="1" x14ac:dyDescent="0.25">
      <c r="A111" s="53">
        <v>2</v>
      </c>
      <c r="B111" s="54" t="s">
        <v>280</v>
      </c>
      <c r="C111" s="55">
        <v>255000</v>
      </c>
      <c r="D111" s="60"/>
      <c r="E111" s="62">
        <f>COUNTIF(Hoja1!$C$9:$C$452,'Hoja3 (2)'!B111)</f>
        <v>0</v>
      </c>
      <c r="F111" s="60" t="b">
        <f>EXACT(B111,Hoja1!C118)</f>
        <v>0</v>
      </c>
      <c r="G111" s="60" t="b">
        <f>EXACT(C111,Hoja1!D118)</f>
        <v>0</v>
      </c>
    </row>
    <row r="112" spans="1:7" s="55" customFormat="1" ht="38.25" hidden="1" x14ac:dyDescent="0.25">
      <c r="A112" s="53">
        <v>3</v>
      </c>
      <c r="B112" s="54" t="s">
        <v>281</v>
      </c>
      <c r="C112" s="55">
        <v>863091.07</v>
      </c>
      <c r="D112" s="60"/>
      <c r="E112" s="62">
        <f>COUNTIF(Hoja1!$C$9:$C$452,'Hoja3 (2)'!B112)</f>
        <v>0</v>
      </c>
      <c r="F112" s="60" t="b">
        <f>EXACT(B112,Hoja1!C119)</f>
        <v>0</v>
      </c>
      <c r="G112" s="60" t="b">
        <f>EXACT(C112,Hoja1!D119)</f>
        <v>0</v>
      </c>
    </row>
    <row r="113" spans="1:7" s="55" customFormat="1" ht="51" hidden="1" x14ac:dyDescent="0.25">
      <c r="A113" s="53">
        <v>4</v>
      </c>
      <c r="B113" s="54" t="s">
        <v>282</v>
      </c>
      <c r="C113" s="55">
        <v>255000</v>
      </c>
      <c r="D113" s="60"/>
      <c r="E113" s="62">
        <f>COUNTIF(Hoja1!$C$9:$C$452,'Hoja3 (2)'!B113)</f>
        <v>0</v>
      </c>
      <c r="F113" s="60" t="b">
        <f>EXACT(B113,Hoja1!C120)</f>
        <v>0</v>
      </c>
      <c r="G113" s="60" t="b">
        <f>EXACT(C113,Hoja1!D120)</f>
        <v>0</v>
      </c>
    </row>
    <row r="114" spans="1:7" s="55" customFormat="1" ht="38.25" hidden="1" x14ac:dyDescent="0.25">
      <c r="A114" s="53">
        <v>5</v>
      </c>
      <c r="B114" s="54" t="s">
        <v>283</v>
      </c>
      <c r="C114" s="55">
        <v>595000</v>
      </c>
      <c r="D114" s="60"/>
      <c r="E114" s="62">
        <f>COUNTIF(Hoja1!$C$9:$C$452,'Hoja3 (2)'!B114)</f>
        <v>0</v>
      </c>
      <c r="F114" s="60" t="b">
        <f>EXACT(B114,Hoja1!C121)</f>
        <v>0</v>
      </c>
      <c r="G114" s="60" t="b">
        <f>EXACT(C114,Hoja1!D121)</f>
        <v>0</v>
      </c>
    </row>
    <row r="115" spans="1:7" s="55" customFormat="1" ht="51" hidden="1" x14ac:dyDescent="0.25">
      <c r="A115" s="53">
        <v>6</v>
      </c>
      <c r="B115" s="54" t="s">
        <v>284</v>
      </c>
      <c r="C115" s="55">
        <v>255000</v>
      </c>
      <c r="D115" s="60"/>
      <c r="E115" s="62">
        <f>COUNTIF(Hoja1!$C$9:$C$452,'Hoja3 (2)'!B115)</f>
        <v>0</v>
      </c>
      <c r="F115" s="60" t="b">
        <f>EXACT(B115,Hoja1!C122)</f>
        <v>0</v>
      </c>
      <c r="G115" s="60" t="b">
        <f>EXACT(C115,Hoja1!D122)</f>
        <v>0</v>
      </c>
    </row>
    <row r="116" spans="1:7" s="55" customFormat="1" ht="38.25" hidden="1" x14ac:dyDescent="0.25">
      <c r="A116" s="53">
        <v>7</v>
      </c>
      <c r="B116" s="54" t="s">
        <v>285</v>
      </c>
      <c r="C116" s="55">
        <v>170000</v>
      </c>
      <c r="D116" s="60"/>
      <c r="E116" s="62">
        <f>COUNTIF(Hoja1!$C$9:$C$452,'Hoja3 (2)'!B116)</f>
        <v>0</v>
      </c>
      <c r="F116" s="60" t="b">
        <f>EXACT(B116,Hoja1!C123)</f>
        <v>0</v>
      </c>
      <c r="G116" s="60" t="b">
        <f>EXACT(C116,Hoja1!D123)</f>
        <v>0</v>
      </c>
    </row>
    <row r="117" spans="1:7" s="55" customFormat="1" ht="38.25" hidden="1" x14ac:dyDescent="0.25">
      <c r="A117" s="53">
        <v>8</v>
      </c>
      <c r="B117" s="54" t="s">
        <v>286</v>
      </c>
      <c r="C117" s="55">
        <v>170000</v>
      </c>
      <c r="D117" s="60"/>
      <c r="E117" s="62">
        <f>COUNTIF(Hoja1!$C$9:$C$452,'Hoja3 (2)'!B117)</f>
        <v>0</v>
      </c>
      <c r="F117" s="60" t="b">
        <f>EXACT(B117,Hoja1!C124)</f>
        <v>0</v>
      </c>
      <c r="G117" s="60" t="b">
        <f>EXACT(C117,Hoja1!D124)</f>
        <v>0</v>
      </c>
    </row>
    <row r="118" spans="1:7" s="55" customFormat="1" ht="38.25" hidden="1" x14ac:dyDescent="0.25">
      <c r="A118" s="53">
        <v>9</v>
      </c>
      <c r="B118" s="54" t="s">
        <v>287</v>
      </c>
      <c r="C118" s="55">
        <v>170000</v>
      </c>
      <c r="D118" s="60"/>
      <c r="E118" s="62">
        <f>COUNTIF(Hoja1!$C$9:$C$452,'Hoja3 (2)'!B118)</f>
        <v>0</v>
      </c>
      <c r="F118" s="60" t="b">
        <f>EXACT(B118,Hoja1!C125)</f>
        <v>0</v>
      </c>
      <c r="G118" s="60" t="b">
        <f>EXACT(C118,Hoja1!D125)</f>
        <v>0</v>
      </c>
    </row>
    <row r="119" spans="1:7" s="55" customFormat="1" ht="38.25" hidden="1" x14ac:dyDescent="0.25">
      <c r="A119" s="53">
        <v>10</v>
      </c>
      <c r="B119" s="54" t="s">
        <v>288</v>
      </c>
      <c r="C119" s="55">
        <v>170000</v>
      </c>
      <c r="D119" s="60"/>
      <c r="E119" s="62">
        <f>COUNTIF(Hoja1!$C$9:$C$452,'Hoja3 (2)'!B119)</f>
        <v>0</v>
      </c>
      <c r="F119" s="60" t="b">
        <f>EXACT(B119,Hoja1!C126)</f>
        <v>0</v>
      </c>
      <c r="G119" s="60" t="b">
        <f>EXACT(C119,Hoja1!D126)</f>
        <v>0</v>
      </c>
    </row>
    <row r="120" spans="1:7" s="55" customFormat="1" ht="25.5" x14ac:dyDescent="0.25">
      <c r="A120" s="53">
        <v>1</v>
      </c>
      <c r="B120" s="54" t="s">
        <v>136</v>
      </c>
      <c r="C120" s="55">
        <v>17270.40000000014</v>
      </c>
      <c r="D120" s="60"/>
      <c r="E120" s="62">
        <f>COUNTIF(Hoja1!$C$9:$C$452,'Hoja3 (2)'!B120)</f>
        <v>0</v>
      </c>
      <c r="F120" s="60" t="b">
        <f>EXACT(B120,Hoja1!C127)</f>
        <v>0</v>
      </c>
      <c r="G120" s="60" t="b">
        <f>EXACT(C120,Hoja1!D127)</f>
        <v>0</v>
      </c>
    </row>
    <row r="121" spans="1:7" s="55" customFormat="1" ht="25.5" x14ac:dyDescent="0.25">
      <c r="A121" s="53">
        <v>2</v>
      </c>
      <c r="B121" s="68" t="s">
        <v>289</v>
      </c>
      <c r="C121" s="55">
        <v>139877.96</v>
      </c>
      <c r="D121" s="60"/>
      <c r="E121" s="62">
        <f>COUNTIF(Hoja1!$C$9:$C$452,'Hoja3 (2)'!B121)</f>
        <v>1</v>
      </c>
      <c r="F121" s="60" t="b">
        <f>EXACT(B121,Hoja1!C128)</f>
        <v>0</v>
      </c>
      <c r="G121" s="60" t="b">
        <f>EXACT(C121,Hoja1!D128)</f>
        <v>0</v>
      </c>
    </row>
    <row r="122" spans="1:7" s="55" customFormat="1" ht="38.25" x14ac:dyDescent="0.25">
      <c r="A122" s="53">
        <v>3</v>
      </c>
      <c r="B122" s="68" t="s">
        <v>290</v>
      </c>
      <c r="C122" s="55">
        <v>404594.35</v>
      </c>
      <c r="D122" s="60"/>
      <c r="E122" s="62">
        <f>COUNTIF(Hoja1!$C$9:$C$452,'Hoja3 (2)'!B122)</f>
        <v>1</v>
      </c>
      <c r="F122" s="60" t="b">
        <f>EXACT(B122,Hoja1!C129)</f>
        <v>0</v>
      </c>
      <c r="G122" s="60" t="b">
        <f>EXACT(C122,Hoja1!D129)</f>
        <v>0</v>
      </c>
    </row>
    <row r="123" spans="1:7" s="55" customFormat="1" ht="25.5" x14ac:dyDescent="0.25">
      <c r="A123" s="53">
        <v>4</v>
      </c>
      <c r="B123" s="68" t="s">
        <v>291</v>
      </c>
      <c r="C123" s="55">
        <v>404594.35</v>
      </c>
      <c r="D123" s="60"/>
      <c r="E123" s="62">
        <f>COUNTIF(Hoja1!$C$9:$C$452,'Hoja3 (2)'!B123)</f>
        <v>0</v>
      </c>
      <c r="F123" s="60" t="b">
        <f>EXACT(B123,Hoja1!C130)</f>
        <v>0</v>
      </c>
      <c r="G123" s="60" t="b">
        <f>EXACT(C123,Hoja1!D130)</f>
        <v>0</v>
      </c>
    </row>
    <row r="124" spans="1:7" s="55" customFormat="1" ht="38.25" x14ac:dyDescent="0.25">
      <c r="A124" s="53">
        <v>5</v>
      </c>
      <c r="B124" s="68" t="s">
        <v>292</v>
      </c>
      <c r="C124" s="55">
        <v>404594.35</v>
      </c>
      <c r="D124" s="60"/>
      <c r="E124" s="62">
        <f>COUNTIF(Hoja1!$C$9:$C$452,'Hoja3 (2)'!B124)</f>
        <v>1</v>
      </c>
      <c r="F124" s="60" t="b">
        <f>EXACT(B124,Hoja1!C131)</f>
        <v>0</v>
      </c>
      <c r="G124" s="60" t="b">
        <f>EXACT(C124,Hoja1!D131)</f>
        <v>0</v>
      </c>
    </row>
    <row r="125" spans="1:7" s="55" customFormat="1" ht="25.5" x14ac:dyDescent="0.25">
      <c r="A125" s="53">
        <v>6</v>
      </c>
      <c r="B125" s="68" t="s">
        <v>293</v>
      </c>
      <c r="C125" s="55">
        <v>202297.19</v>
      </c>
      <c r="D125" s="60"/>
      <c r="E125" s="62">
        <f>COUNTIF(Hoja1!$C$9:$C$452,'Hoja3 (2)'!B125)</f>
        <v>0</v>
      </c>
      <c r="F125" s="60" t="b">
        <f>EXACT(B125,Hoja1!C132)</f>
        <v>0</v>
      </c>
      <c r="G125" s="60" t="b">
        <f>EXACT(C125,Hoja1!D132)</f>
        <v>0</v>
      </c>
    </row>
    <row r="126" spans="1:7" s="55" customFormat="1" ht="25.5" x14ac:dyDescent="0.25">
      <c r="A126" s="53">
        <v>7</v>
      </c>
      <c r="B126" s="68" t="s">
        <v>294</v>
      </c>
      <c r="C126" s="55">
        <v>404594.35</v>
      </c>
      <c r="D126" s="60"/>
      <c r="E126" s="62">
        <f>COUNTIF(Hoja1!$C$9:$C$452,'Hoja3 (2)'!B126)</f>
        <v>0</v>
      </c>
      <c r="F126" s="60" t="b">
        <f>EXACT(B126,Hoja1!C133)</f>
        <v>0</v>
      </c>
      <c r="G126" s="60" t="b">
        <f>EXACT(C126,Hoja1!D133)</f>
        <v>0</v>
      </c>
    </row>
    <row r="127" spans="1:7" s="55" customFormat="1" ht="25.5" x14ac:dyDescent="0.25">
      <c r="A127" s="53">
        <v>8</v>
      </c>
      <c r="B127" s="68" t="s">
        <v>295</v>
      </c>
      <c r="C127" s="55">
        <v>404594.35</v>
      </c>
      <c r="D127" s="60"/>
      <c r="E127" s="62">
        <f>COUNTIF(Hoja1!$C$9:$C$452,'Hoja3 (2)'!B127)</f>
        <v>0</v>
      </c>
      <c r="F127" s="60" t="b">
        <f>EXACT(B127,Hoja1!C134)</f>
        <v>0</v>
      </c>
      <c r="G127" s="60" t="b">
        <f>EXACT(C127,Hoja1!D134)</f>
        <v>0</v>
      </c>
    </row>
    <row r="128" spans="1:7" s="55" customFormat="1" ht="25.5" x14ac:dyDescent="0.25">
      <c r="A128" s="53">
        <v>9</v>
      </c>
      <c r="B128" s="68" t="s">
        <v>296</v>
      </c>
      <c r="C128" s="55">
        <v>202297.19</v>
      </c>
      <c r="D128" s="60"/>
      <c r="E128" s="62">
        <f>COUNTIF(Hoja1!$C$9:$C$452,'Hoja3 (2)'!B128)</f>
        <v>0</v>
      </c>
      <c r="F128" s="60" t="b">
        <f>EXACT(B128,Hoja1!C135)</f>
        <v>0</v>
      </c>
      <c r="G128" s="60" t="b">
        <f>EXACT(C128,Hoja1!D135)</f>
        <v>0</v>
      </c>
    </row>
    <row r="129" spans="1:7" s="55" customFormat="1" ht="25.5" x14ac:dyDescent="0.25">
      <c r="A129" s="53">
        <v>10</v>
      </c>
      <c r="B129" s="68" t="s">
        <v>297</v>
      </c>
      <c r="C129" s="55">
        <v>101148.6</v>
      </c>
      <c r="D129" s="60"/>
      <c r="E129" s="62">
        <f>COUNTIF(Hoja1!$C$9:$C$452,'Hoja3 (2)'!B129)</f>
        <v>0</v>
      </c>
      <c r="F129" s="60" t="b">
        <f>EXACT(B129,Hoja1!C136)</f>
        <v>0</v>
      </c>
      <c r="G129" s="60" t="b">
        <f>EXACT(C129,Hoja1!D136)</f>
        <v>0</v>
      </c>
    </row>
    <row r="130" spans="1:7" s="55" customFormat="1" ht="38.25" x14ac:dyDescent="0.25">
      <c r="A130" s="53">
        <v>11</v>
      </c>
      <c r="B130" s="54" t="s">
        <v>298</v>
      </c>
      <c r="C130" s="55">
        <v>2707.9</v>
      </c>
      <c r="D130" s="60"/>
      <c r="E130" s="62">
        <f>COUNTIF(Hoja1!$C$9:$C$452,'Hoja3 (2)'!B130)</f>
        <v>0</v>
      </c>
      <c r="F130" s="60" t="b">
        <f>EXACT(B130,Hoja1!C137)</f>
        <v>0</v>
      </c>
      <c r="G130" s="60" t="b">
        <f>EXACT(C130,Hoja1!D137)</f>
        <v>0</v>
      </c>
    </row>
    <row r="131" spans="1:7" s="55" customFormat="1" ht="25.5" x14ac:dyDescent="0.25">
      <c r="A131" s="53">
        <v>1</v>
      </c>
      <c r="B131" s="54" t="s">
        <v>137</v>
      </c>
      <c r="C131" s="55">
        <v>14393.3</v>
      </c>
      <c r="D131" s="60"/>
      <c r="E131" s="62">
        <f>COUNTIF(Hoja1!$C$9:$C$452,'Hoja3 (2)'!B131)</f>
        <v>0</v>
      </c>
      <c r="F131" s="60" t="b">
        <f>EXACT(B131,Hoja1!C138)</f>
        <v>0</v>
      </c>
      <c r="G131" s="60" t="b">
        <f>EXACT(C131,Hoja1!D138)</f>
        <v>0</v>
      </c>
    </row>
    <row r="132" spans="1:7" s="55" customFormat="1" ht="38.25" x14ac:dyDescent="0.25">
      <c r="A132" s="53">
        <v>2</v>
      </c>
      <c r="B132" s="69" t="s">
        <v>299</v>
      </c>
      <c r="C132" s="55">
        <v>89880</v>
      </c>
      <c r="D132" s="60"/>
      <c r="E132" s="62">
        <f>COUNTIF(Hoja1!$C$9:$C$452,'Hoja3 (2)'!B132)</f>
        <v>0</v>
      </c>
      <c r="F132" s="60" t="b">
        <f>EXACT(B132,Hoja1!C139)</f>
        <v>0</v>
      </c>
      <c r="G132" s="60" t="b">
        <f>EXACT(C132,Hoja1!D139)</f>
        <v>0</v>
      </c>
    </row>
    <row r="133" spans="1:7" s="55" customFormat="1" ht="25.5" x14ac:dyDescent="0.25">
      <c r="A133" s="53">
        <v>3</v>
      </c>
      <c r="B133" s="69" t="s">
        <v>300</v>
      </c>
      <c r="C133" s="55">
        <v>179759.96</v>
      </c>
      <c r="D133" s="60"/>
      <c r="E133" s="62">
        <f>COUNTIF(Hoja1!$C$9:$C$452,'Hoja3 (2)'!B133)</f>
        <v>0</v>
      </c>
      <c r="F133" s="60" t="b">
        <f>EXACT(B133,Hoja1!C140)</f>
        <v>0</v>
      </c>
      <c r="G133" s="60" t="b">
        <f>EXACT(C133,Hoja1!D140)</f>
        <v>0</v>
      </c>
    </row>
    <row r="134" spans="1:7" s="55" customFormat="1" ht="25.5" x14ac:dyDescent="0.25">
      <c r="A134" s="53">
        <v>4</v>
      </c>
      <c r="B134" s="69" t="s">
        <v>301</v>
      </c>
      <c r="C134" s="55">
        <v>89880</v>
      </c>
      <c r="D134" s="60"/>
      <c r="E134" s="62">
        <f>COUNTIF(Hoja1!$C$9:$C$452,'Hoja3 (2)'!B134)</f>
        <v>1</v>
      </c>
      <c r="F134" s="60" t="b">
        <f>EXACT(B134,Hoja1!C141)</f>
        <v>0</v>
      </c>
      <c r="G134" s="60" t="b">
        <f>EXACT(C134,Hoja1!D141)</f>
        <v>0</v>
      </c>
    </row>
    <row r="135" spans="1:7" s="55" customFormat="1" ht="38.25" x14ac:dyDescent="0.25">
      <c r="A135" s="53">
        <v>5</v>
      </c>
      <c r="B135" s="69" t="s">
        <v>302</v>
      </c>
      <c r="C135" s="55">
        <v>449399.93</v>
      </c>
      <c r="D135" s="60"/>
      <c r="E135" s="62">
        <f>COUNTIF(Hoja1!$C$9:$C$452,'Hoja3 (2)'!B135)</f>
        <v>0</v>
      </c>
      <c r="F135" s="60" t="b">
        <f>EXACT(B135,Hoja1!C142)</f>
        <v>0</v>
      </c>
      <c r="G135" s="60" t="b">
        <f>EXACT(C135,Hoja1!D142)</f>
        <v>0</v>
      </c>
    </row>
    <row r="136" spans="1:7" s="55" customFormat="1" ht="38.25" x14ac:dyDescent="0.25">
      <c r="A136" s="53">
        <v>6</v>
      </c>
      <c r="B136" s="69" t="s">
        <v>303</v>
      </c>
      <c r="C136" s="55">
        <v>89880</v>
      </c>
      <c r="D136" s="60"/>
      <c r="E136" s="62">
        <f>COUNTIF(Hoja1!$C$9:$C$452,'Hoja3 (2)'!B136)</f>
        <v>0</v>
      </c>
      <c r="F136" s="60" t="b">
        <f>EXACT(B136,Hoja1!C143)</f>
        <v>0</v>
      </c>
      <c r="G136" s="60" t="b">
        <f>EXACT(C136,Hoja1!D143)</f>
        <v>0</v>
      </c>
    </row>
    <row r="137" spans="1:7" s="55" customFormat="1" ht="38.25" x14ac:dyDescent="0.25">
      <c r="A137" s="53">
        <v>1</v>
      </c>
      <c r="B137" s="54" t="s">
        <v>138</v>
      </c>
      <c r="C137" s="55">
        <v>1158798.8899999999</v>
      </c>
      <c r="D137" s="60"/>
      <c r="E137" s="62">
        <f>COUNTIF(Hoja1!$C$9:$C$452,'Hoja3 (2)'!B137)</f>
        <v>0</v>
      </c>
      <c r="F137" s="60" t="b">
        <f>EXACT(B137,Hoja1!C144)</f>
        <v>0</v>
      </c>
      <c r="G137" s="60" t="b">
        <f>EXACT(C137,Hoja1!D144)</f>
        <v>0</v>
      </c>
    </row>
    <row r="138" spans="1:7" s="55" customFormat="1" ht="51" x14ac:dyDescent="0.25">
      <c r="A138" s="53">
        <v>2</v>
      </c>
      <c r="B138" s="54" t="s">
        <v>139</v>
      </c>
      <c r="C138" s="55">
        <v>2230489.56</v>
      </c>
      <c r="D138" s="60"/>
      <c r="E138" s="62">
        <f>COUNTIF(Hoja1!$C$9:$C$452,'Hoja3 (2)'!B138)</f>
        <v>0</v>
      </c>
      <c r="F138" s="60" t="b">
        <f>EXACT(B138,Hoja1!C145)</f>
        <v>0</v>
      </c>
      <c r="G138" s="60" t="b">
        <f>EXACT(C138,Hoja1!D145)</f>
        <v>0</v>
      </c>
    </row>
    <row r="139" spans="1:7" s="55" customFormat="1" ht="51" x14ac:dyDescent="0.25">
      <c r="A139" s="53">
        <v>3</v>
      </c>
      <c r="B139" s="54" t="s">
        <v>140</v>
      </c>
      <c r="C139" s="55">
        <v>1930489.56</v>
      </c>
      <c r="D139" s="60"/>
      <c r="E139" s="62">
        <f>COUNTIF(Hoja1!$C$9:$C$452,'Hoja3 (2)'!B139)</f>
        <v>0</v>
      </c>
      <c r="F139" s="60" t="b">
        <f>EXACT(B139,Hoja1!C146)</f>
        <v>0</v>
      </c>
      <c r="G139" s="60" t="b">
        <f>EXACT(C139,Hoja1!D146)</f>
        <v>0</v>
      </c>
    </row>
    <row r="140" spans="1:7" s="55" customFormat="1" ht="51" x14ac:dyDescent="0.25">
      <c r="A140" s="53">
        <v>4</v>
      </c>
      <c r="B140" s="54" t="s">
        <v>141</v>
      </c>
      <c r="C140" s="55">
        <v>1000000</v>
      </c>
      <c r="D140" s="60"/>
      <c r="E140" s="62">
        <f>COUNTIF(Hoja1!$C$9:$C$452,'Hoja3 (2)'!B140)</f>
        <v>0</v>
      </c>
      <c r="F140" s="60" t="b">
        <f>EXACT(B140,Hoja1!C147)</f>
        <v>0</v>
      </c>
      <c r="G140" s="60" t="b">
        <f>EXACT(C140,Hoja1!D147)</f>
        <v>0</v>
      </c>
    </row>
    <row r="141" spans="1:7" s="55" customFormat="1" ht="38.25" x14ac:dyDescent="0.25">
      <c r="A141" s="53">
        <v>5</v>
      </c>
      <c r="B141" s="54" t="s">
        <v>142</v>
      </c>
      <c r="C141" s="55">
        <v>300000</v>
      </c>
      <c r="D141" s="60"/>
      <c r="E141" s="62">
        <f>COUNTIF(Hoja1!$C$9:$C$452,'Hoja3 (2)'!B141)</f>
        <v>0</v>
      </c>
      <c r="F141" s="60" t="b">
        <f>EXACT(B141,Hoja1!C148)</f>
        <v>0</v>
      </c>
      <c r="G141" s="60" t="b">
        <f>EXACT(C141,Hoja1!D148)</f>
        <v>0</v>
      </c>
    </row>
    <row r="142" spans="1:7" s="55" customFormat="1" ht="38.25" x14ac:dyDescent="0.25">
      <c r="A142" s="53">
        <v>6</v>
      </c>
      <c r="B142" s="54" t="s">
        <v>143</v>
      </c>
      <c r="C142" s="55">
        <v>1500000</v>
      </c>
      <c r="D142" s="60"/>
      <c r="E142" s="62">
        <f>COUNTIF(Hoja1!$C$9:$C$452,'Hoja3 (2)'!B142)</f>
        <v>0</v>
      </c>
      <c r="F142" s="60" t="b">
        <f>EXACT(B142,Hoja1!C149)</f>
        <v>0</v>
      </c>
      <c r="G142" s="60" t="b">
        <f>EXACT(C142,Hoja1!D149)</f>
        <v>0</v>
      </c>
    </row>
    <row r="143" spans="1:7" s="55" customFormat="1" ht="38.25" x14ac:dyDescent="0.25">
      <c r="A143" s="53">
        <v>7</v>
      </c>
      <c r="B143" s="54" t="s">
        <v>144</v>
      </c>
      <c r="C143" s="55">
        <v>850000</v>
      </c>
      <c r="D143" s="60"/>
      <c r="E143" s="62">
        <f>COUNTIF(Hoja1!$C$9:$C$452,'Hoja3 (2)'!B143)</f>
        <v>0</v>
      </c>
      <c r="F143" s="60" t="b">
        <f>EXACT(B143,Hoja1!C150)</f>
        <v>0</v>
      </c>
      <c r="G143" s="60" t="b">
        <f>EXACT(C143,Hoja1!D150)</f>
        <v>0</v>
      </c>
    </row>
    <row r="144" spans="1:7" s="55" customFormat="1" ht="38.25" x14ac:dyDescent="0.25">
      <c r="A144" s="53">
        <v>8</v>
      </c>
      <c r="B144" s="54" t="s">
        <v>145</v>
      </c>
      <c r="C144" s="55">
        <v>695032.62</v>
      </c>
      <c r="D144" s="60"/>
      <c r="E144" s="62">
        <f>COUNTIF(Hoja1!$C$9:$C$452,'Hoja3 (2)'!B144)</f>
        <v>0</v>
      </c>
      <c r="F144" s="60" t="b">
        <f>EXACT(B144,Hoja1!C151)</f>
        <v>0</v>
      </c>
      <c r="G144" s="60" t="b">
        <f>EXACT(C144,Hoja1!D151)</f>
        <v>0</v>
      </c>
    </row>
    <row r="145" spans="1:13" s="55" customFormat="1" ht="38.25" x14ac:dyDescent="0.25">
      <c r="A145" s="53">
        <v>9</v>
      </c>
      <c r="B145" s="54" t="s">
        <v>146</v>
      </c>
      <c r="C145" s="55">
        <v>2230489.56</v>
      </c>
      <c r="D145" s="60"/>
      <c r="E145" s="62">
        <f>COUNTIF(Hoja1!$C$9:$C$452,'Hoja3 (2)'!B145)</f>
        <v>0</v>
      </c>
      <c r="F145" s="60" t="b">
        <f>EXACT(B145,Hoja1!C152)</f>
        <v>0</v>
      </c>
      <c r="G145" s="60" t="b">
        <f>EXACT(C145,Hoja1!D152)</f>
        <v>0</v>
      </c>
    </row>
    <row r="146" spans="1:13" s="55" customFormat="1" ht="38.25" x14ac:dyDescent="0.25">
      <c r="A146" s="53">
        <v>10</v>
      </c>
      <c r="B146" s="54" t="s">
        <v>147</v>
      </c>
      <c r="C146" s="55">
        <v>550000</v>
      </c>
      <c r="D146" s="60"/>
      <c r="E146" s="62">
        <f>COUNTIF(Hoja1!$C$9:$C$452,'Hoja3 (2)'!B146)</f>
        <v>0</v>
      </c>
      <c r="F146" s="60" t="b">
        <f>EXACT(B146,Hoja1!C153)</f>
        <v>0</v>
      </c>
      <c r="G146" s="60" t="b">
        <f>EXACT(C146,Hoja1!D153)</f>
        <v>0</v>
      </c>
    </row>
    <row r="147" spans="1:13" s="55" customFormat="1" ht="38.25" x14ac:dyDescent="0.25">
      <c r="A147" s="53">
        <v>11</v>
      </c>
      <c r="B147" s="54" t="s">
        <v>148</v>
      </c>
      <c r="C147" s="55">
        <v>723180.63</v>
      </c>
      <c r="D147" s="60"/>
      <c r="E147" s="62">
        <f>COUNTIF(Hoja1!$C$9:$C$452,'Hoja3 (2)'!B147)</f>
        <v>0</v>
      </c>
      <c r="F147" s="60" t="b">
        <f>EXACT(B147,Hoja1!C154)</f>
        <v>0</v>
      </c>
      <c r="G147" s="60" t="b">
        <f>EXACT(C147,Hoja1!D154)</f>
        <v>0</v>
      </c>
    </row>
    <row r="148" spans="1:13" s="55" customFormat="1" ht="38.25" x14ac:dyDescent="0.25">
      <c r="A148" s="53">
        <v>12</v>
      </c>
      <c r="B148" s="56" t="s">
        <v>149</v>
      </c>
      <c r="C148" s="57">
        <v>900000</v>
      </c>
      <c r="D148" s="60"/>
      <c r="E148" s="62">
        <f>COUNTIF(Hoja1!$C$9:$C$452,'Hoja3 (2)'!B148)</f>
        <v>0</v>
      </c>
      <c r="F148" s="60" t="b">
        <f>EXACT(B148,Hoja1!C155)</f>
        <v>0</v>
      </c>
      <c r="G148" s="60" t="b">
        <f>EXACT(C148,Hoja1!D155)</f>
        <v>0</v>
      </c>
    </row>
    <row r="149" spans="1:13" s="55" customFormat="1" ht="38.25" x14ac:dyDescent="0.25">
      <c r="A149" s="53">
        <v>13</v>
      </c>
      <c r="B149" s="56" t="s">
        <v>314</v>
      </c>
      <c r="C149" s="57">
        <v>110655.86</v>
      </c>
      <c r="D149" s="60"/>
      <c r="E149" s="62">
        <f>COUNTIF(Hoja1!$C$9:$C$452,'Hoja3 (2)'!B149)</f>
        <v>0</v>
      </c>
      <c r="F149" s="60" t="b">
        <f>EXACT(B149,Hoja1!C156)</f>
        <v>0</v>
      </c>
      <c r="G149" s="60" t="b">
        <f>EXACT(C149,Hoja1!D156)</f>
        <v>0</v>
      </c>
    </row>
    <row r="150" spans="1:13" s="55" customFormat="1" ht="38.25" x14ac:dyDescent="0.25">
      <c r="A150" s="53">
        <v>1</v>
      </c>
      <c r="B150" s="54" t="s">
        <v>150</v>
      </c>
      <c r="C150" s="55">
        <v>1490841.88</v>
      </c>
      <c r="D150" s="60"/>
      <c r="E150" s="62">
        <f>COUNTIF(Hoja1!$C$9:$C$452,'Hoja3 (2)'!B150)</f>
        <v>0</v>
      </c>
      <c r="F150" s="60" t="b">
        <f>EXACT(B150,Hoja1!C157)</f>
        <v>0</v>
      </c>
      <c r="G150" s="60" t="b">
        <f>EXACT(C150,Hoja1!D157)</f>
        <v>0</v>
      </c>
    </row>
    <row r="151" spans="1:13" s="55" customFormat="1" ht="38.25" x14ac:dyDescent="0.25">
      <c r="A151" s="53">
        <v>2</v>
      </c>
      <c r="B151" s="54" t="s">
        <v>151</v>
      </c>
      <c r="C151" s="55">
        <v>142789.46999999974</v>
      </c>
      <c r="D151" s="60"/>
      <c r="E151" s="62">
        <f>COUNTIF(Hoja1!$C$9:$C$452,'Hoja3 (2)'!B151)</f>
        <v>0</v>
      </c>
      <c r="F151" s="60" t="b">
        <f>EXACT(B151,Hoja1!C158)</f>
        <v>0</v>
      </c>
      <c r="G151" s="60" t="b">
        <f>EXACT(C151,Hoja1!D158)</f>
        <v>0</v>
      </c>
    </row>
    <row r="152" spans="1:13" s="55" customFormat="1" ht="25.5" x14ac:dyDescent="0.25">
      <c r="A152" s="53">
        <v>3</v>
      </c>
      <c r="B152" s="54" t="s">
        <v>152</v>
      </c>
      <c r="C152" s="55">
        <v>168010.77</v>
      </c>
      <c r="D152" s="60"/>
      <c r="E152" s="62">
        <f>COUNTIF(Hoja1!$C$9:$C$452,'Hoja3 (2)'!B152)</f>
        <v>0</v>
      </c>
      <c r="F152" s="60" t="b">
        <f>EXACT(B152,Hoja1!C159)</f>
        <v>0</v>
      </c>
      <c r="G152" s="60" t="b">
        <f>EXACT(C152,Hoja1!D159)</f>
        <v>0</v>
      </c>
      <c r="M152" s="55" t="s">
        <v>312</v>
      </c>
    </row>
    <row r="153" spans="1:13" s="55" customFormat="1" ht="38.25" x14ac:dyDescent="0.25">
      <c r="A153" s="53">
        <v>4</v>
      </c>
      <c r="B153" s="54" t="s">
        <v>153</v>
      </c>
      <c r="C153" s="55">
        <v>11264.010000000009</v>
      </c>
      <c r="D153" s="60"/>
      <c r="E153" s="62">
        <f>COUNTIF(Hoja1!$C$9:$C$452,'Hoja3 (2)'!B153)</f>
        <v>0</v>
      </c>
      <c r="F153" s="60" t="b">
        <f>EXACT(B153,Hoja1!C160)</f>
        <v>0</v>
      </c>
      <c r="G153" s="60" t="b">
        <f>EXACT(C153,Hoja1!D160)</f>
        <v>0</v>
      </c>
    </row>
    <row r="154" spans="1:13" s="55" customFormat="1" ht="38.25" x14ac:dyDescent="0.25">
      <c r="A154" s="53">
        <v>5</v>
      </c>
      <c r="B154" s="54" t="s">
        <v>154</v>
      </c>
      <c r="C154" s="55">
        <v>702406.26</v>
      </c>
      <c r="D154" s="60"/>
      <c r="E154" s="62">
        <f>COUNTIF(Hoja1!$C$9:$C$452,'Hoja3 (2)'!B154)</f>
        <v>0</v>
      </c>
      <c r="F154" s="60" t="b">
        <f>EXACT(B154,Hoja1!C161)</f>
        <v>0</v>
      </c>
      <c r="G154" s="60" t="b">
        <f>EXACT(C154,Hoja1!D161)</f>
        <v>0</v>
      </c>
    </row>
    <row r="155" spans="1:13" s="55" customFormat="1" ht="51" x14ac:dyDescent="0.25">
      <c r="A155" s="53">
        <v>6</v>
      </c>
      <c r="B155" s="54" t="s">
        <v>155</v>
      </c>
      <c r="C155" s="55">
        <v>4000000</v>
      </c>
      <c r="D155" s="60"/>
      <c r="E155" s="62">
        <f>COUNTIF(Hoja1!$C$9:$C$452,'Hoja3 (2)'!B155)</f>
        <v>0</v>
      </c>
      <c r="F155" s="60" t="b">
        <f>EXACT(B155,Hoja1!C162)</f>
        <v>0</v>
      </c>
      <c r="G155" s="60" t="b">
        <f>EXACT(C155,Hoja1!D162)</f>
        <v>0</v>
      </c>
    </row>
    <row r="156" spans="1:13" s="55" customFormat="1" ht="51" x14ac:dyDescent="0.25">
      <c r="A156" s="53">
        <v>7</v>
      </c>
      <c r="B156" s="54" t="s">
        <v>156</v>
      </c>
      <c r="C156" s="55">
        <v>3000000</v>
      </c>
      <c r="D156" s="60"/>
      <c r="E156" s="62">
        <f>COUNTIF(Hoja1!$C$9:$C$452,'Hoja3 (2)'!B156)</f>
        <v>0</v>
      </c>
      <c r="F156" s="60" t="b">
        <f>EXACT(B156,Hoja1!C163)</f>
        <v>0</v>
      </c>
      <c r="G156" s="60" t="b">
        <f>EXACT(C156,Hoja1!D163)</f>
        <v>0</v>
      </c>
    </row>
    <row r="157" spans="1:13" s="55" customFormat="1" ht="38.25" x14ac:dyDescent="0.25">
      <c r="A157" s="53">
        <v>8</v>
      </c>
      <c r="B157" s="54" t="s">
        <v>157</v>
      </c>
      <c r="C157" s="55">
        <v>6900000</v>
      </c>
      <c r="D157" s="60"/>
      <c r="E157" s="62">
        <f>COUNTIF(Hoja1!$C$9:$C$452,'Hoja3 (2)'!B157)</f>
        <v>0</v>
      </c>
      <c r="F157" s="60" t="b">
        <f>EXACT(B157,Hoja1!C164)</f>
        <v>0</v>
      </c>
      <c r="G157" s="60" t="b">
        <f>EXACT(C157,Hoja1!D164)</f>
        <v>0</v>
      </c>
    </row>
    <row r="158" spans="1:13" s="55" customFormat="1" ht="38.25" x14ac:dyDescent="0.25">
      <c r="A158" s="53">
        <v>11</v>
      </c>
      <c r="B158" s="54" t="s">
        <v>158</v>
      </c>
      <c r="C158" s="55">
        <v>2745290.35</v>
      </c>
      <c r="D158" s="60"/>
      <c r="E158" s="62">
        <f>COUNTIF(Hoja1!$C$9:$C$452,'Hoja3 (2)'!B158)</f>
        <v>0</v>
      </c>
      <c r="F158" s="60" t="b">
        <f>EXACT(B158,Hoja1!C165)</f>
        <v>0</v>
      </c>
      <c r="G158" s="60" t="b">
        <f>EXACT(C158,Hoja1!D165)</f>
        <v>0</v>
      </c>
    </row>
    <row r="159" spans="1:13" s="55" customFormat="1" ht="38.25" x14ac:dyDescent="0.25">
      <c r="A159" s="53">
        <v>12</v>
      </c>
      <c r="B159" s="54" t="s">
        <v>159</v>
      </c>
      <c r="C159" s="55">
        <v>1800000</v>
      </c>
      <c r="D159" s="60"/>
      <c r="E159" s="62">
        <f>COUNTIF(Hoja1!$C$9:$C$452,'Hoja3 (2)'!B159)</f>
        <v>0</v>
      </c>
      <c r="F159" s="60" t="b">
        <f>EXACT(B159,Hoja1!C166)</f>
        <v>0</v>
      </c>
      <c r="G159" s="60" t="b">
        <f>EXACT(C159,Hoja1!D166)</f>
        <v>0</v>
      </c>
    </row>
    <row r="160" spans="1:13" s="55" customFormat="1" ht="38.25" x14ac:dyDescent="0.25">
      <c r="A160" s="53">
        <v>13</v>
      </c>
      <c r="B160" s="54" t="s">
        <v>160</v>
      </c>
      <c r="C160" s="55">
        <v>3000000</v>
      </c>
      <c r="D160" s="60"/>
      <c r="E160" s="62">
        <f>COUNTIF(Hoja1!$C$9:$C$452,'Hoja3 (2)'!B160)</f>
        <v>0</v>
      </c>
      <c r="F160" s="60" t="b">
        <f>EXACT(B160,Hoja1!C167)</f>
        <v>0</v>
      </c>
      <c r="G160" s="60" t="b">
        <f>EXACT(C160,Hoja1!D167)</f>
        <v>0</v>
      </c>
    </row>
    <row r="161" spans="1:7" s="55" customFormat="1" ht="38.25" x14ac:dyDescent="0.25">
      <c r="A161" s="53">
        <v>14</v>
      </c>
      <c r="B161" s="54" t="s">
        <v>161</v>
      </c>
      <c r="C161" s="55">
        <v>136194.82</v>
      </c>
      <c r="D161" s="60"/>
      <c r="E161" s="62">
        <f>COUNTIF(Hoja1!$C$9:$C$452,'Hoja3 (2)'!B161)</f>
        <v>0</v>
      </c>
      <c r="F161" s="60" t="b">
        <f>EXACT(B161,Hoja1!C168)</f>
        <v>0</v>
      </c>
      <c r="G161" s="60" t="b">
        <f>EXACT(C161,Hoja1!D168)</f>
        <v>0</v>
      </c>
    </row>
    <row r="162" spans="1:7" s="55" customFormat="1" ht="51" x14ac:dyDescent="0.25">
      <c r="A162" s="53">
        <v>15</v>
      </c>
      <c r="B162" s="54" t="s">
        <v>162</v>
      </c>
      <c r="C162" s="55">
        <v>176342.71</v>
      </c>
      <c r="D162" s="60"/>
      <c r="E162" s="62">
        <f>COUNTIF(Hoja1!$C$9:$C$452,'Hoja3 (2)'!B162)</f>
        <v>0</v>
      </c>
      <c r="F162" s="60" t="b">
        <f>EXACT(B162,Hoja1!C169)</f>
        <v>0</v>
      </c>
      <c r="G162" s="60" t="b">
        <f>EXACT(C162,Hoja1!D169)</f>
        <v>0</v>
      </c>
    </row>
    <row r="163" spans="1:7" s="55" customFormat="1" ht="38.25" x14ac:dyDescent="0.25">
      <c r="A163" s="53">
        <v>16</v>
      </c>
      <c r="B163" s="54" t="s">
        <v>163</v>
      </c>
      <c r="C163" s="55">
        <v>125156.17</v>
      </c>
      <c r="D163" s="60"/>
      <c r="E163" s="62">
        <f>COUNTIF(Hoja1!$C$9:$C$452,'Hoja3 (2)'!B163)</f>
        <v>0</v>
      </c>
      <c r="F163" s="60" t="b">
        <f>EXACT(B163,Hoja1!C170)</f>
        <v>0</v>
      </c>
      <c r="G163" s="60" t="b">
        <f>EXACT(C163,Hoja1!D170)</f>
        <v>0</v>
      </c>
    </row>
    <row r="164" spans="1:7" s="55" customFormat="1" ht="38.25" x14ac:dyDescent="0.25">
      <c r="A164" s="53">
        <v>17</v>
      </c>
      <c r="B164" s="54" t="s">
        <v>164</v>
      </c>
      <c r="C164" s="55">
        <v>340723.97</v>
      </c>
      <c r="D164" s="60"/>
      <c r="E164" s="62">
        <f>COUNTIF(Hoja1!$C$9:$C$452,'Hoja3 (2)'!B164)</f>
        <v>0</v>
      </c>
      <c r="F164" s="60" t="b">
        <f>EXACT(B164,Hoja1!C171)</f>
        <v>0</v>
      </c>
      <c r="G164" s="60" t="b">
        <f>EXACT(C164,Hoja1!D171)</f>
        <v>0</v>
      </c>
    </row>
    <row r="165" spans="1:7" s="55" customFormat="1" ht="38.25" x14ac:dyDescent="0.25">
      <c r="A165" s="53">
        <v>18</v>
      </c>
      <c r="B165" s="54" t="s">
        <v>165</v>
      </c>
      <c r="C165" s="55">
        <v>303850.99</v>
      </c>
      <c r="D165" s="60"/>
      <c r="E165" s="62">
        <f>COUNTIF(Hoja1!$C$9:$C$452,'Hoja3 (2)'!B165)</f>
        <v>0</v>
      </c>
      <c r="F165" s="60" t="b">
        <f>EXACT(B165,Hoja1!C172)</f>
        <v>0</v>
      </c>
      <c r="G165" s="60" t="b">
        <f>EXACT(C165,Hoja1!D172)</f>
        <v>0</v>
      </c>
    </row>
    <row r="166" spans="1:7" s="55" customFormat="1" ht="38.25" x14ac:dyDescent="0.25">
      <c r="A166" s="53">
        <v>19</v>
      </c>
      <c r="B166" s="54" t="s">
        <v>166</v>
      </c>
      <c r="C166" s="55">
        <v>128448.73</v>
      </c>
      <c r="D166" s="60"/>
      <c r="E166" s="62">
        <f>COUNTIF(Hoja1!$C$9:$C$452,'Hoja3 (2)'!B166)</f>
        <v>0</v>
      </c>
      <c r="F166" s="60" t="b">
        <f>EXACT(B166,Hoja1!C173)</f>
        <v>0</v>
      </c>
      <c r="G166" s="60" t="b">
        <f>EXACT(C166,Hoja1!D173)</f>
        <v>0</v>
      </c>
    </row>
    <row r="167" spans="1:7" s="55" customFormat="1" ht="38.25" x14ac:dyDescent="0.25">
      <c r="A167" s="53">
        <v>20</v>
      </c>
      <c r="B167" s="54" t="s">
        <v>167</v>
      </c>
      <c r="C167" s="55">
        <v>134835.89000000001</v>
      </c>
      <c r="D167" s="60"/>
      <c r="E167" s="62">
        <f>COUNTIF(Hoja1!$C$9:$C$452,'Hoja3 (2)'!B167)</f>
        <v>0</v>
      </c>
      <c r="F167" s="60" t="b">
        <f>EXACT(B167,Hoja1!C174)</f>
        <v>0</v>
      </c>
      <c r="G167" s="60" t="b">
        <f>EXACT(C167,Hoja1!D174)</f>
        <v>0</v>
      </c>
    </row>
    <row r="168" spans="1:7" s="55" customFormat="1" ht="38.25" x14ac:dyDescent="0.25">
      <c r="A168" s="53">
        <v>21</v>
      </c>
      <c r="B168" s="54" t="s">
        <v>168</v>
      </c>
      <c r="C168" s="55">
        <v>168302.47</v>
      </c>
      <c r="D168" s="60"/>
      <c r="E168" s="62">
        <f>COUNTIF(Hoja1!$C$9:$C$452,'Hoja3 (2)'!B168)</f>
        <v>0</v>
      </c>
      <c r="F168" s="60" t="b">
        <f>EXACT(B168,Hoja1!C175)</f>
        <v>0</v>
      </c>
      <c r="G168" s="60" t="b">
        <f>EXACT(C168,Hoja1!D175)</f>
        <v>0</v>
      </c>
    </row>
    <row r="169" spans="1:7" s="55" customFormat="1" ht="51" x14ac:dyDescent="0.25">
      <c r="A169" s="53">
        <v>22</v>
      </c>
      <c r="B169" s="54" t="s">
        <v>169</v>
      </c>
      <c r="C169" s="55">
        <v>169979.91</v>
      </c>
      <c r="D169" s="60"/>
      <c r="E169" s="62">
        <f>COUNTIF(Hoja1!$C$9:$C$452,'Hoja3 (2)'!B169)</f>
        <v>0</v>
      </c>
      <c r="F169" s="60" t="b">
        <f>EXACT(B169,Hoja1!C176)</f>
        <v>0</v>
      </c>
      <c r="G169" s="60" t="b">
        <f>EXACT(C169,Hoja1!D176)</f>
        <v>0</v>
      </c>
    </row>
    <row r="170" spans="1:7" s="55" customFormat="1" ht="38.25" x14ac:dyDescent="0.25">
      <c r="A170" s="53">
        <v>23</v>
      </c>
      <c r="B170" s="54" t="s">
        <v>170</v>
      </c>
      <c r="C170" s="55">
        <v>116086.3</v>
      </c>
      <c r="D170" s="60"/>
      <c r="E170" s="62">
        <f>COUNTIF(Hoja1!$C$9:$C$452,'Hoja3 (2)'!B170)</f>
        <v>0</v>
      </c>
      <c r="F170" s="60" t="b">
        <f>EXACT(B170,Hoja1!C177)</f>
        <v>0</v>
      </c>
      <c r="G170" s="60" t="b">
        <f>EXACT(C170,Hoja1!D177)</f>
        <v>0</v>
      </c>
    </row>
    <row r="171" spans="1:7" s="55" customFormat="1" ht="38.25" x14ac:dyDescent="0.25">
      <c r="A171" s="53">
        <v>24</v>
      </c>
      <c r="B171" s="54" t="s">
        <v>171</v>
      </c>
      <c r="C171" s="55">
        <v>128042.44</v>
      </c>
      <c r="D171" s="60"/>
      <c r="E171" s="62">
        <f>COUNTIF(Hoja1!$C$9:$C$452,'Hoja3 (2)'!B171)</f>
        <v>0</v>
      </c>
      <c r="F171" s="60" t="b">
        <f>EXACT(B171,Hoja1!C178)</f>
        <v>0</v>
      </c>
      <c r="G171" s="60" t="b">
        <f>EXACT(C171,Hoja1!D178)</f>
        <v>0</v>
      </c>
    </row>
    <row r="172" spans="1:7" s="55" customFormat="1" ht="51" x14ac:dyDescent="0.25">
      <c r="A172" s="53">
        <v>25</v>
      </c>
      <c r="B172" s="54" t="s">
        <v>172</v>
      </c>
      <c r="C172" s="55">
        <v>258037.59</v>
      </c>
      <c r="D172" s="60"/>
      <c r="E172" s="63">
        <v>1</v>
      </c>
      <c r="F172" s="60" t="b">
        <f>EXACT(B172,Hoja1!C179)</f>
        <v>0</v>
      </c>
      <c r="G172" s="60" t="b">
        <f>EXACT(C172,Hoja1!D179)</f>
        <v>0</v>
      </c>
    </row>
    <row r="173" spans="1:7" s="55" customFormat="1" ht="38.25" x14ac:dyDescent="0.25">
      <c r="A173" s="53">
        <v>26</v>
      </c>
      <c r="B173" s="54" t="s">
        <v>173</v>
      </c>
      <c r="C173" s="55">
        <v>14500000</v>
      </c>
      <c r="D173" s="60"/>
      <c r="E173" s="63">
        <v>1</v>
      </c>
      <c r="F173" s="60" t="b">
        <f>EXACT(B173,Hoja1!C180)</f>
        <v>0</v>
      </c>
      <c r="G173" s="60" t="b">
        <f>EXACT(C173,Hoja1!D180)</f>
        <v>0</v>
      </c>
    </row>
    <row r="174" spans="1:7" s="55" customFormat="1" ht="38.25" x14ac:dyDescent="0.25">
      <c r="A174" s="53">
        <v>27</v>
      </c>
      <c r="B174" s="54" t="s">
        <v>174</v>
      </c>
      <c r="C174" s="55">
        <v>4500000</v>
      </c>
      <c r="D174" s="60"/>
      <c r="E174" s="62">
        <f>COUNTIF(Hoja1!$C$9:$C$452,'Hoja3 (2)'!B174)</f>
        <v>0</v>
      </c>
      <c r="F174" s="60" t="b">
        <f>EXACT(B174,Hoja1!C181)</f>
        <v>0</v>
      </c>
      <c r="G174" s="60" t="b">
        <f>EXACT(C174,Hoja1!D181)</f>
        <v>0</v>
      </c>
    </row>
    <row r="175" spans="1:7" s="55" customFormat="1" ht="89.25" x14ac:dyDescent="0.25">
      <c r="A175" s="53">
        <v>29</v>
      </c>
      <c r="B175" s="54" t="s">
        <v>175</v>
      </c>
      <c r="C175" s="55">
        <v>2000000</v>
      </c>
      <c r="D175" s="60"/>
      <c r="E175" s="63">
        <v>1</v>
      </c>
      <c r="F175" s="60" t="b">
        <f>EXACT(B175,Hoja1!C182)</f>
        <v>0</v>
      </c>
      <c r="G175" s="60" t="b">
        <f>EXACT(C175,Hoja1!D182)</f>
        <v>0</v>
      </c>
    </row>
    <row r="176" spans="1:7" s="55" customFormat="1" ht="76.5" x14ac:dyDescent="0.25">
      <c r="A176" s="53">
        <v>31</v>
      </c>
      <c r="B176" s="54" t="s">
        <v>304</v>
      </c>
      <c r="C176" s="55">
        <v>1762945</v>
      </c>
      <c r="D176" s="60"/>
      <c r="E176" s="62">
        <v>1</v>
      </c>
      <c r="F176" s="60" t="b">
        <f>EXACT(B176,Hoja1!C183)</f>
        <v>0</v>
      </c>
      <c r="G176" s="60" t="b">
        <f>EXACT(C176,Hoja1!D183)</f>
        <v>0</v>
      </c>
    </row>
    <row r="177" spans="1:7" s="55" customFormat="1" ht="38.25" x14ac:dyDescent="0.25">
      <c r="A177" s="53">
        <v>32</v>
      </c>
      <c r="B177" s="54" t="s">
        <v>305</v>
      </c>
      <c r="C177" s="55">
        <v>435301</v>
      </c>
      <c r="D177" s="60"/>
      <c r="E177" s="62">
        <f>COUNTIF(Hoja1!$C$9:$C$452,'Hoja3 (2)'!B177)</f>
        <v>0</v>
      </c>
      <c r="F177" s="60" t="b">
        <f>EXACT(B177,Hoja1!C184)</f>
        <v>0</v>
      </c>
      <c r="G177" s="60" t="b">
        <f>EXACT(C177,Hoja1!D184)</f>
        <v>0</v>
      </c>
    </row>
    <row r="178" spans="1:7" s="55" customFormat="1" ht="63.75" x14ac:dyDescent="0.25">
      <c r="A178" s="53">
        <v>33</v>
      </c>
      <c r="B178" s="54" t="s">
        <v>306</v>
      </c>
      <c r="C178" s="55">
        <v>1404830.69</v>
      </c>
      <c r="D178" s="60"/>
      <c r="E178" s="62">
        <v>1</v>
      </c>
      <c r="F178" s="60" t="b">
        <f>EXACT(B178,Hoja1!C185)</f>
        <v>0</v>
      </c>
      <c r="G178" s="60" t="b">
        <f>EXACT(C178,Hoja1!D185)</f>
        <v>0</v>
      </c>
    </row>
    <row r="179" spans="1:7" s="55" customFormat="1" ht="38.25" x14ac:dyDescent="0.25">
      <c r="A179" s="53">
        <v>34</v>
      </c>
      <c r="B179" s="54" t="s">
        <v>307</v>
      </c>
      <c r="C179" s="55">
        <v>800065.31</v>
      </c>
      <c r="D179" s="60"/>
      <c r="E179" s="62">
        <f>COUNTIF(Hoja1!$C$9:$C$452,'Hoja3 (2)'!B179)</f>
        <v>0</v>
      </c>
      <c r="F179" s="60" t="b">
        <f>EXACT(B179,Hoja1!C186)</f>
        <v>0</v>
      </c>
      <c r="G179" s="60" t="b">
        <f>EXACT(C179,Hoja1!D186)</f>
        <v>0</v>
      </c>
    </row>
    <row r="180" spans="1:7" s="55" customFormat="1" ht="38.25" x14ac:dyDescent="0.25">
      <c r="A180" s="53">
        <v>35</v>
      </c>
      <c r="B180" s="54" t="s">
        <v>176</v>
      </c>
      <c r="C180" s="55">
        <v>691959</v>
      </c>
      <c r="D180" s="60"/>
      <c r="E180" s="62">
        <f>COUNTIF(Hoja1!$C$9:$C$452,'Hoja3 (2)'!B180)</f>
        <v>0</v>
      </c>
      <c r="F180" s="60" t="b">
        <f>EXACT(B180,Hoja1!C187)</f>
        <v>0</v>
      </c>
      <c r="G180" s="60" t="b">
        <f>EXACT(C180,Hoja1!D187)</f>
        <v>0</v>
      </c>
    </row>
    <row r="181" spans="1:7" s="55" customFormat="1" ht="38.25" x14ac:dyDescent="0.25">
      <c r="A181" s="53">
        <v>39</v>
      </c>
      <c r="B181" s="54" t="s">
        <v>177</v>
      </c>
      <c r="C181" s="55">
        <v>3151825.9499999997</v>
      </c>
      <c r="D181" s="60"/>
      <c r="E181" s="62">
        <f>COUNTIF(Hoja1!$C$9:$C$452,'Hoja3 (2)'!B181)</f>
        <v>1</v>
      </c>
      <c r="F181" s="60" t="b">
        <f>EXACT(B181,Hoja1!C188)</f>
        <v>0</v>
      </c>
      <c r="G181" s="60" t="b">
        <f>EXACT(C181,Hoja1!D188)</f>
        <v>0</v>
      </c>
    </row>
    <row r="182" spans="1:7" s="55" customFormat="1" ht="38.25" x14ac:dyDescent="0.25">
      <c r="A182" s="53">
        <v>40</v>
      </c>
      <c r="B182" s="54" t="s">
        <v>178</v>
      </c>
      <c r="C182" s="55">
        <v>3034474.15</v>
      </c>
      <c r="D182" s="60"/>
      <c r="E182" s="62">
        <f>COUNTIF(Hoja1!$C$9:$C$452,'Hoja3 (2)'!B182)</f>
        <v>0</v>
      </c>
      <c r="F182" s="60" t="b">
        <f>EXACT(B182,Hoja1!C189)</f>
        <v>0</v>
      </c>
      <c r="G182" s="60" t="b">
        <f>EXACT(C182,Hoja1!D189)</f>
        <v>0</v>
      </c>
    </row>
    <row r="183" spans="1:7" s="55" customFormat="1" ht="38.25" x14ac:dyDescent="0.25">
      <c r="A183" s="53">
        <v>42</v>
      </c>
      <c r="B183" s="54" t="s">
        <v>179</v>
      </c>
      <c r="C183" s="55">
        <v>2094827.91</v>
      </c>
      <c r="D183" s="60"/>
      <c r="E183" s="62">
        <f>COUNTIF(Hoja1!$C$9:$C$452,'Hoja3 (2)'!B183)</f>
        <v>0</v>
      </c>
      <c r="F183" s="60" t="b">
        <f>EXACT(B183,Hoja1!C190)</f>
        <v>0</v>
      </c>
      <c r="G183" s="60" t="b">
        <f>EXACT(C183,Hoja1!D190)</f>
        <v>0</v>
      </c>
    </row>
    <row r="184" spans="1:7" s="55" customFormat="1" ht="25.5" x14ac:dyDescent="0.25">
      <c r="A184" s="53">
        <v>43</v>
      </c>
      <c r="B184" s="54" t="s">
        <v>180</v>
      </c>
      <c r="C184" s="55">
        <v>75332.289999999994</v>
      </c>
      <c r="D184" s="60"/>
      <c r="E184" s="62">
        <f>COUNTIF(Hoja1!$C$9:$C$452,'Hoja3 (2)'!B184)</f>
        <v>0</v>
      </c>
      <c r="F184" s="60" t="b">
        <f>EXACT(B184,Hoja1!C191)</f>
        <v>0</v>
      </c>
      <c r="G184" s="60" t="b">
        <f>EXACT(C184,Hoja1!D191)</f>
        <v>0</v>
      </c>
    </row>
    <row r="185" spans="1:7" s="55" customFormat="1" ht="25.5" x14ac:dyDescent="0.25">
      <c r="A185" s="53">
        <v>44</v>
      </c>
      <c r="B185" s="54" t="s">
        <v>181</v>
      </c>
      <c r="C185" s="55">
        <v>137759.54</v>
      </c>
      <c r="D185" s="60"/>
      <c r="E185" s="62">
        <f>COUNTIF(Hoja1!$C$9:$C$452,'Hoja3 (2)'!B185)</f>
        <v>0</v>
      </c>
      <c r="F185" s="60" t="b">
        <f>EXACT(B185,Hoja1!C192)</f>
        <v>0</v>
      </c>
      <c r="G185" s="60" t="b">
        <f>EXACT(C185,Hoja1!D192)</f>
        <v>0</v>
      </c>
    </row>
    <row r="186" spans="1:7" s="55" customFormat="1" ht="38.25" x14ac:dyDescent="0.25">
      <c r="A186" s="53">
        <v>45</v>
      </c>
      <c r="B186" s="54" t="s">
        <v>182</v>
      </c>
      <c r="C186" s="55">
        <v>34547.65</v>
      </c>
      <c r="D186" s="60"/>
      <c r="E186" s="62">
        <f>COUNTIF(Hoja1!$C$9:$C$452,'Hoja3 (2)'!B186)</f>
        <v>0</v>
      </c>
      <c r="F186" s="60" t="b">
        <f>EXACT(B186,Hoja1!C193)</f>
        <v>0</v>
      </c>
      <c r="G186" s="60" t="b">
        <f>EXACT(C186,Hoja1!D193)</f>
        <v>0</v>
      </c>
    </row>
    <row r="187" spans="1:7" s="55" customFormat="1" ht="38.25" x14ac:dyDescent="0.25">
      <c r="A187" s="53">
        <v>46</v>
      </c>
      <c r="B187" s="54" t="s">
        <v>183</v>
      </c>
      <c r="C187" s="55">
        <v>127573.86</v>
      </c>
      <c r="D187" s="60"/>
      <c r="E187" s="62">
        <f>COUNTIF(Hoja1!$C$9:$C$452,'Hoja3 (2)'!B187)</f>
        <v>0</v>
      </c>
      <c r="F187" s="60" t="b">
        <f>EXACT(B187,Hoja1!C194)</f>
        <v>0</v>
      </c>
      <c r="G187" s="60" t="b">
        <f>EXACT(C187,Hoja1!D194)</f>
        <v>0</v>
      </c>
    </row>
    <row r="188" spans="1:7" s="55" customFormat="1" ht="38.25" x14ac:dyDescent="0.25">
      <c r="A188" s="53">
        <v>47</v>
      </c>
      <c r="B188" s="54" t="s">
        <v>184</v>
      </c>
      <c r="C188" s="55">
        <v>248733.84</v>
      </c>
      <c r="D188" s="60"/>
      <c r="E188" s="62">
        <f>COUNTIF(Hoja1!$C$9:$C$452,'Hoja3 (2)'!B188)</f>
        <v>0</v>
      </c>
      <c r="F188" s="60" t="b">
        <f>EXACT(B188,Hoja1!C195)</f>
        <v>0</v>
      </c>
      <c r="G188" s="60" t="b">
        <f>EXACT(C188,Hoja1!D195)</f>
        <v>0</v>
      </c>
    </row>
    <row r="189" spans="1:7" s="55" customFormat="1" ht="25.5" x14ac:dyDescent="0.25">
      <c r="A189" s="53">
        <v>48</v>
      </c>
      <c r="B189" s="54" t="s">
        <v>185</v>
      </c>
      <c r="C189" s="55">
        <v>74934.320000000007</v>
      </c>
      <c r="D189" s="60"/>
      <c r="E189" s="62">
        <f>COUNTIF(Hoja1!$C$9:$C$452,'Hoja3 (2)'!B189)</f>
        <v>0</v>
      </c>
      <c r="F189" s="60" t="b">
        <f>EXACT(B189,Hoja1!C196)</f>
        <v>0</v>
      </c>
      <c r="G189" s="60" t="b">
        <f>EXACT(C189,Hoja1!D196)</f>
        <v>0</v>
      </c>
    </row>
    <row r="190" spans="1:7" s="55" customFormat="1" ht="38.25" x14ac:dyDescent="0.25">
      <c r="A190" s="53">
        <v>49</v>
      </c>
      <c r="B190" s="54" t="s">
        <v>186</v>
      </c>
      <c r="C190" s="55">
        <v>57245.73</v>
      </c>
      <c r="D190" s="60"/>
      <c r="E190" s="62">
        <f>COUNTIF(Hoja1!$C$9:$C$452,'Hoja3 (2)'!B190)</f>
        <v>0</v>
      </c>
      <c r="F190" s="60" t="b">
        <f>EXACT(B190,Hoja1!C197)</f>
        <v>0</v>
      </c>
      <c r="G190" s="60" t="b">
        <f>EXACT(C190,Hoja1!D197)</f>
        <v>0</v>
      </c>
    </row>
    <row r="191" spans="1:7" s="55" customFormat="1" ht="38.25" x14ac:dyDescent="0.25">
      <c r="A191" s="53">
        <v>50</v>
      </c>
      <c r="B191" s="54" t="s">
        <v>187</v>
      </c>
      <c r="C191" s="55">
        <v>39147.01</v>
      </c>
      <c r="D191" s="60"/>
      <c r="E191" s="62">
        <f>COUNTIF(Hoja1!$C$9:$C$452,'Hoja3 (2)'!B191)</f>
        <v>0</v>
      </c>
      <c r="F191" s="60" t="b">
        <f>EXACT(B191,Hoja1!C198)</f>
        <v>0</v>
      </c>
      <c r="G191" s="60" t="b">
        <f>EXACT(C191,Hoja1!D198)</f>
        <v>0</v>
      </c>
    </row>
    <row r="192" spans="1:7" s="55" customFormat="1" ht="38.25" x14ac:dyDescent="0.25">
      <c r="A192" s="53">
        <v>51</v>
      </c>
      <c r="B192" s="54" t="s">
        <v>188</v>
      </c>
      <c r="C192" s="55">
        <v>110214.23</v>
      </c>
      <c r="D192" s="60"/>
      <c r="E192" s="62">
        <f>COUNTIF(Hoja1!$C$9:$C$452,'Hoja3 (2)'!B192)</f>
        <v>0</v>
      </c>
      <c r="F192" s="60" t="b">
        <f>EXACT(B192,Hoja1!C199)</f>
        <v>0</v>
      </c>
      <c r="G192" s="60" t="b">
        <f>EXACT(C192,Hoja1!D199)</f>
        <v>0</v>
      </c>
    </row>
    <row r="193" spans="1:7" s="55" customFormat="1" ht="38.25" x14ac:dyDescent="0.25">
      <c r="A193" s="53">
        <v>52</v>
      </c>
      <c r="B193" s="54" t="s">
        <v>189</v>
      </c>
      <c r="C193" s="55">
        <v>235549.52</v>
      </c>
      <c r="D193" s="60"/>
      <c r="E193" s="62">
        <f>COUNTIF(Hoja1!$C$9:$C$452,'Hoja3 (2)'!B193)</f>
        <v>0</v>
      </c>
      <c r="F193" s="60" t="b">
        <f>EXACT(B193,Hoja1!C200)</f>
        <v>0</v>
      </c>
      <c r="G193" s="60" t="b">
        <f>EXACT(C193,Hoja1!D200)</f>
        <v>0</v>
      </c>
    </row>
    <row r="194" spans="1:7" s="55" customFormat="1" ht="38.25" x14ac:dyDescent="0.25">
      <c r="A194" s="53">
        <v>53</v>
      </c>
      <c r="B194" s="54" t="s">
        <v>190</v>
      </c>
      <c r="C194" s="55">
        <v>230187.97</v>
      </c>
      <c r="D194" s="60"/>
      <c r="E194" s="62">
        <f>COUNTIF(Hoja1!$C$9:$C$452,'Hoja3 (2)'!B194)</f>
        <v>0</v>
      </c>
      <c r="F194" s="60" t="b">
        <f>EXACT(B194,Hoja1!C201)</f>
        <v>0</v>
      </c>
      <c r="G194" s="60" t="b">
        <f>EXACT(C194,Hoja1!D201)</f>
        <v>0</v>
      </c>
    </row>
    <row r="195" spans="1:7" s="55" customFormat="1" ht="38.25" x14ac:dyDescent="0.25">
      <c r="A195" s="53">
        <v>54</v>
      </c>
      <c r="B195" s="54" t="s">
        <v>191</v>
      </c>
      <c r="C195" s="55">
        <v>46206.04</v>
      </c>
      <c r="D195" s="60"/>
      <c r="E195" s="62">
        <f>COUNTIF(Hoja1!$C$9:$C$452,'Hoja3 (2)'!B195)</f>
        <v>0</v>
      </c>
      <c r="F195" s="60" t="b">
        <f>EXACT(B195,Hoja1!C202)</f>
        <v>0</v>
      </c>
      <c r="G195" s="60" t="b">
        <f>EXACT(C195,Hoja1!D202)</f>
        <v>0</v>
      </c>
    </row>
    <row r="196" spans="1:7" s="55" customFormat="1" ht="25.5" x14ac:dyDescent="0.25">
      <c r="A196" s="53">
        <v>55</v>
      </c>
      <c r="B196" s="54" t="s">
        <v>192</v>
      </c>
      <c r="C196" s="55">
        <v>97978.04</v>
      </c>
      <c r="D196" s="60"/>
      <c r="E196" s="62">
        <f>COUNTIF(Hoja1!$C$9:$C$452,'Hoja3 (2)'!B196)</f>
        <v>0</v>
      </c>
      <c r="F196" s="60" t="b">
        <f>EXACT(B196,Hoja1!C203)</f>
        <v>0</v>
      </c>
      <c r="G196" s="60" t="b">
        <f>EXACT(C196,Hoja1!D203)</f>
        <v>0</v>
      </c>
    </row>
    <row r="197" spans="1:7" s="55" customFormat="1" ht="38.25" x14ac:dyDescent="0.25">
      <c r="A197" s="53">
        <v>56</v>
      </c>
      <c r="B197" s="54" t="s">
        <v>193</v>
      </c>
      <c r="C197" s="55">
        <v>207197.92</v>
      </c>
      <c r="D197" s="60"/>
      <c r="E197" s="62">
        <f>COUNTIF(Hoja1!$C$9:$C$452,'Hoja3 (2)'!B197)</f>
        <v>0</v>
      </c>
      <c r="F197" s="60" t="b">
        <f>EXACT(B197,Hoja1!C204)</f>
        <v>0</v>
      </c>
      <c r="G197" s="60" t="b">
        <f>EXACT(C197,Hoja1!D204)</f>
        <v>0</v>
      </c>
    </row>
    <row r="198" spans="1:7" s="55" customFormat="1" ht="25.5" x14ac:dyDescent="0.25">
      <c r="A198" s="53">
        <v>57</v>
      </c>
      <c r="B198" s="54" t="s">
        <v>194</v>
      </c>
      <c r="C198" s="55">
        <v>98410.32</v>
      </c>
      <c r="D198" s="60"/>
      <c r="E198" s="62">
        <f>COUNTIF(Hoja1!$C$9:$C$452,'Hoja3 (2)'!B198)</f>
        <v>0</v>
      </c>
      <c r="F198" s="60" t="b">
        <f>EXACT(B198,Hoja1!C205)</f>
        <v>0</v>
      </c>
      <c r="G198" s="60" t="b">
        <f>EXACT(C198,Hoja1!D205)</f>
        <v>0</v>
      </c>
    </row>
    <row r="199" spans="1:7" s="55" customFormat="1" ht="38.25" x14ac:dyDescent="0.25">
      <c r="A199" s="53">
        <v>58</v>
      </c>
      <c r="B199" s="54" t="s">
        <v>195</v>
      </c>
      <c r="C199" s="55">
        <v>63794.05</v>
      </c>
      <c r="D199" s="60"/>
      <c r="E199" s="62">
        <f>COUNTIF(Hoja1!$C$9:$C$452,'Hoja3 (2)'!B199)</f>
        <v>0</v>
      </c>
      <c r="F199" s="60" t="b">
        <f>EXACT(B199,Hoja1!C206)</f>
        <v>0</v>
      </c>
      <c r="G199" s="60" t="b">
        <f>EXACT(C199,Hoja1!D206)</f>
        <v>0</v>
      </c>
    </row>
    <row r="200" spans="1:7" s="55" customFormat="1" ht="25.5" x14ac:dyDescent="0.25">
      <c r="A200" s="53">
        <v>59</v>
      </c>
      <c r="B200" s="54" t="s">
        <v>196</v>
      </c>
      <c r="C200" s="55">
        <v>179512.51</v>
      </c>
      <c r="D200" s="60"/>
      <c r="E200" s="62">
        <f>COUNTIF(Hoja1!$C$9:$C$452,'Hoja3 (2)'!B200)</f>
        <v>0</v>
      </c>
      <c r="F200" s="60" t="b">
        <f>EXACT(B200,Hoja1!C207)</f>
        <v>0</v>
      </c>
      <c r="G200" s="60" t="b">
        <f>EXACT(C200,Hoja1!D207)</f>
        <v>0</v>
      </c>
    </row>
    <row r="201" spans="1:7" s="55" customFormat="1" ht="25.5" x14ac:dyDescent="0.25">
      <c r="A201" s="53">
        <v>60</v>
      </c>
      <c r="B201" s="54" t="s">
        <v>197</v>
      </c>
      <c r="C201" s="55">
        <v>91864.53</v>
      </c>
      <c r="D201" s="60"/>
      <c r="E201" s="62">
        <f>COUNTIF(Hoja1!$C$9:$C$452,'Hoja3 (2)'!B201)</f>
        <v>0</v>
      </c>
      <c r="F201" s="60" t="b">
        <f>EXACT(B201,Hoja1!C208)</f>
        <v>0</v>
      </c>
      <c r="G201" s="60" t="b">
        <f>EXACT(C201,Hoja1!D208)</f>
        <v>0</v>
      </c>
    </row>
    <row r="202" spans="1:7" s="55" customFormat="1" ht="25.5" x14ac:dyDescent="0.25">
      <c r="A202" s="53">
        <v>61</v>
      </c>
      <c r="B202" s="54" t="s">
        <v>198</v>
      </c>
      <c r="C202" s="55">
        <v>85557.77</v>
      </c>
      <c r="D202" s="60"/>
      <c r="E202" s="62">
        <f>COUNTIF(Hoja1!$C$9:$C$452,'Hoja3 (2)'!B202)</f>
        <v>0</v>
      </c>
      <c r="F202" s="60" t="b">
        <f>EXACT(B202,Hoja1!C209)</f>
        <v>0</v>
      </c>
      <c r="G202" s="60" t="b">
        <f>EXACT(C202,Hoja1!D209)</f>
        <v>0</v>
      </c>
    </row>
    <row r="203" spans="1:7" s="55" customFormat="1" ht="25.5" x14ac:dyDescent="0.25">
      <c r="A203" s="53">
        <v>62</v>
      </c>
      <c r="B203" s="54" t="s">
        <v>199</v>
      </c>
      <c r="C203" s="55">
        <v>228069.54</v>
      </c>
      <c r="D203" s="60"/>
      <c r="E203" s="63">
        <v>1</v>
      </c>
      <c r="F203" s="60" t="b">
        <f>EXACT(B203,Hoja1!C210)</f>
        <v>0</v>
      </c>
      <c r="G203" s="60" t="b">
        <f>EXACT(C203,Hoja1!D210)</f>
        <v>0</v>
      </c>
    </row>
    <row r="204" spans="1:7" s="55" customFormat="1" ht="38.25" x14ac:dyDescent="0.25">
      <c r="A204" s="53">
        <v>63</v>
      </c>
      <c r="B204" s="54" t="s">
        <v>200</v>
      </c>
      <c r="C204" s="55">
        <v>589082.56999999995</v>
      </c>
      <c r="D204" s="60"/>
      <c r="E204" s="62">
        <f>COUNTIF(Hoja1!$C$9:$C$452,'Hoja3 (2)'!B204)</f>
        <v>0</v>
      </c>
      <c r="F204" s="60" t="b">
        <f>EXACT(B204,Hoja1!C211)</f>
        <v>0</v>
      </c>
      <c r="G204" s="60" t="b">
        <f>EXACT(C204,Hoja1!D211)</f>
        <v>0</v>
      </c>
    </row>
    <row r="205" spans="1:7" s="55" customFormat="1" ht="38.25" x14ac:dyDescent="0.25">
      <c r="A205" s="53">
        <v>64</v>
      </c>
      <c r="B205" s="54" t="s">
        <v>201</v>
      </c>
      <c r="C205" s="55">
        <v>246583.33</v>
      </c>
      <c r="D205" s="60"/>
      <c r="E205" s="62">
        <f>COUNTIF(Hoja1!$C$9:$C$452,'Hoja3 (2)'!B205)</f>
        <v>0</v>
      </c>
      <c r="F205" s="60" t="b">
        <f>EXACT(B205,Hoja1!C212)</f>
        <v>0</v>
      </c>
      <c r="G205" s="60" t="b">
        <f>EXACT(C205,Hoja1!D212)</f>
        <v>0</v>
      </c>
    </row>
    <row r="206" spans="1:7" s="55" customFormat="1" ht="76.5" x14ac:dyDescent="0.25">
      <c r="A206" s="70">
        <v>65</v>
      </c>
      <c r="B206" s="71" t="s">
        <v>202</v>
      </c>
      <c r="C206" s="72">
        <v>440000</v>
      </c>
      <c r="D206" s="60"/>
      <c r="E206" s="62">
        <v>1</v>
      </c>
      <c r="F206" s="60" t="b">
        <f>EXACT(B206,Hoja1!C213)</f>
        <v>0</v>
      </c>
      <c r="G206" s="60" t="b">
        <f>EXACT(C206,Hoja1!D213)</f>
        <v>0</v>
      </c>
    </row>
    <row r="207" spans="1:7" s="55" customFormat="1" ht="25.5" x14ac:dyDescent="0.25">
      <c r="A207" s="53">
        <v>66</v>
      </c>
      <c r="B207" s="54" t="s">
        <v>203</v>
      </c>
      <c r="C207" s="55">
        <v>350000</v>
      </c>
      <c r="D207" s="60"/>
      <c r="E207" s="62">
        <f>COUNTIF(Hoja1!$C$9:$C$452,'Hoja3 (2)'!B207)</f>
        <v>0</v>
      </c>
      <c r="F207" s="60" t="b">
        <f>EXACT(B207,Hoja1!C214)</f>
        <v>0</v>
      </c>
      <c r="G207" s="60" t="b">
        <f>EXACT(C207,Hoja1!D214)</f>
        <v>0</v>
      </c>
    </row>
    <row r="208" spans="1:7" s="55" customFormat="1" ht="38.25" x14ac:dyDescent="0.25">
      <c r="A208" s="53">
        <v>67</v>
      </c>
      <c r="B208" s="54" t="s">
        <v>204</v>
      </c>
      <c r="C208" s="55">
        <v>650000</v>
      </c>
      <c r="D208" s="60"/>
      <c r="E208" s="62">
        <f>COUNTIF(Hoja1!$C$9:$C$452,'Hoja3 (2)'!B208)</f>
        <v>0</v>
      </c>
      <c r="F208" s="60" t="b">
        <f>EXACT(B208,Hoja1!C215)</f>
        <v>0</v>
      </c>
      <c r="G208" s="60" t="b">
        <f>EXACT(C208,Hoja1!D215)</f>
        <v>0</v>
      </c>
    </row>
    <row r="209" spans="1:7" s="55" customFormat="1" ht="63.75" x14ac:dyDescent="0.25">
      <c r="A209" s="53">
        <v>68</v>
      </c>
      <c r="B209" s="54" t="s">
        <v>205</v>
      </c>
      <c r="C209" s="55">
        <v>1354683.89</v>
      </c>
      <c r="D209" s="60"/>
      <c r="E209" s="62">
        <f>COUNTIF(Hoja1!$C$9:$C$452,'Hoja3 (2)'!B209)</f>
        <v>0</v>
      </c>
      <c r="F209" s="60" t="b">
        <f>EXACT(B209,Hoja1!C216)</f>
        <v>0</v>
      </c>
      <c r="G209" s="60" t="b">
        <f>EXACT(C209,Hoja1!D216)</f>
        <v>0</v>
      </c>
    </row>
    <row r="210" spans="1:7" s="55" customFormat="1" ht="51" x14ac:dyDescent="0.25">
      <c r="A210" s="53">
        <v>69</v>
      </c>
      <c r="B210" s="54" t="s">
        <v>206</v>
      </c>
      <c r="C210" s="55">
        <v>2415723.7800000003</v>
      </c>
      <c r="D210" s="60"/>
      <c r="E210" s="62">
        <f>COUNTIF(Hoja1!$C$9:$C$452,'Hoja3 (2)'!B210)</f>
        <v>0</v>
      </c>
      <c r="F210" s="60" t="b">
        <f>EXACT(B210,Hoja1!C217)</f>
        <v>0</v>
      </c>
      <c r="G210" s="60" t="b">
        <f>EXACT(C210,Hoja1!D217)</f>
        <v>0</v>
      </c>
    </row>
    <row r="211" spans="1:7" s="55" customFormat="1" ht="51" x14ac:dyDescent="0.25">
      <c r="A211" s="53">
        <v>70</v>
      </c>
      <c r="B211" s="54" t="s">
        <v>207</v>
      </c>
      <c r="C211" s="55">
        <v>2700000</v>
      </c>
      <c r="D211" s="60"/>
      <c r="E211" s="62">
        <f>COUNTIF(Hoja1!$C$9:$C$452,'Hoja3 (2)'!B211)</f>
        <v>0</v>
      </c>
      <c r="F211" s="60" t="b">
        <f>EXACT(B211,Hoja1!C218)</f>
        <v>0</v>
      </c>
      <c r="G211" s="60" t="b">
        <f>EXACT(C211,Hoja1!D218)</f>
        <v>0</v>
      </c>
    </row>
    <row r="212" spans="1:7" s="55" customFormat="1" ht="38.25" x14ac:dyDescent="0.25">
      <c r="A212" s="53">
        <v>72</v>
      </c>
      <c r="B212" s="54" t="s">
        <v>208</v>
      </c>
      <c r="C212" s="55">
        <v>2000000</v>
      </c>
      <c r="D212" s="60"/>
      <c r="E212" s="62">
        <f>COUNTIF(Hoja1!$C$9:$C$452,'Hoja3 (2)'!B212)</f>
        <v>0</v>
      </c>
      <c r="F212" s="60" t="b">
        <f>EXACT(B212,Hoja1!C219)</f>
        <v>0</v>
      </c>
      <c r="G212" s="60" t="b">
        <f>EXACT(C212,Hoja1!D219)</f>
        <v>0</v>
      </c>
    </row>
    <row r="213" spans="1:7" s="55" customFormat="1" ht="51" x14ac:dyDescent="0.25">
      <c r="A213" s="53">
        <v>73</v>
      </c>
      <c r="B213" s="54" t="s">
        <v>315</v>
      </c>
      <c r="C213" s="55">
        <v>73005.899999999994</v>
      </c>
      <c r="D213" s="60"/>
      <c r="E213" s="62">
        <f>COUNTIF(Hoja1!$C$9:$C$452,'Hoja3 (2)'!B213)</f>
        <v>0</v>
      </c>
      <c r="F213" s="60" t="b">
        <f>EXACT(B213,Hoja1!C220)</f>
        <v>0</v>
      </c>
      <c r="G213" s="60" t="b">
        <f>EXACT(C213,Hoja1!D220)</f>
        <v>0</v>
      </c>
    </row>
    <row r="214" spans="1:7" s="55" customFormat="1" ht="51" x14ac:dyDescent="0.25">
      <c r="A214" s="53">
        <v>74</v>
      </c>
      <c r="B214" s="54" t="s">
        <v>316</v>
      </c>
      <c r="C214" s="55">
        <v>19629.11</v>
      </c>
      <c r="D214" s="60"/>
      <c r="E214" s="62">
        <f>COUNTIF(Hoja1!$C$9:$C$452,'Hoja3 (2)'!B214)</f>
        <v>0</v>
      </c>
      <c r="F214" s="60" t="b">
        <f>EXACT(B214,Hoja1!C221)</f>
        <v>0</v>
      </c>
      <c r="G214" s="60" t="b">
        <f>EXACT(C214,Hoja1!D221)</f>
        <v>0</v>
      </c>
    </row>
    <row r="215" spans="1:7" s="55" customFormat="1" ht="51" x14ac:dyDescent="0.25">
      <c r="A215" s="53">
        <v>75</v>
      </c>
      <c r="B215" s="54" t="s">
        <v>317</v>
      </c>
      <c r="C215" s="55">
        <v>37621</v>
      </c>
      <c r="D215" s="60"/>
      <c r="E215" s="62">
        <f>COUNTIF(Hoja1!$C$9:$C$452,'Hoja3 (2)'!B215)</f>
        <v>0</v>
      </c>
      <c r="F215" s="60" t="b">
        <f>EXACT(B215,Hoja1!C222)</f>
        <v>0</v>
      </c>
      <c r="G215" s="60" t="b">
        <f>EXACT(C215,Hoja1!D222)</f>
        <v>0</v>
      </c>
    </row>
    <row r="216" spans="1:7" s="55" customFormat="1" ht="102" x14ac:dyDescent="0.25">
      <c r="A216" s="70">
        <v>76</v>
      </c>
      <c r="B216" s="71" t="s">
        <v>318</v>
      </c>
      <c r="C216" s="72">
        <v>4500000</v>
      </c>
      <c r="D216" s="60"/>
      <c r="E216" s="62">
        <v>1</v>
      </c>
      <c r="F216" s="60" t="b">
        <f>EXACT(B216,Hoja1!C223)</f>
        <v>0</v>
      </c>
      <c r="G216" s="60" t="b">
        <f>EXACT(C216,Hoja1!D223)</f>
        <v>0</v>
      </c>
    </row>
    <row r="217" spans="1:7" s="55" customFormat="1" ht="51" x14ac:dyDescent="0.25">
      <c r="A217" s="53">
        <v>77</v>
      </c>
      <c r="B217" s="54" t="s">
        <v>319</v>
      </c>
      <c r="C217" s="55">
        <v>531292.48</v>
      </c>
      <c r="D217" s="60"/>
      <c r="E217" s="62">
        <f>COUNTIF(Hoja1!$C$9:$C$452,'Hoja3 (2)'!B217)</f>
        <v>0</v>
      </c>
      <c r="F217" s="60" t="b">
        <f>EXACT(B217,Hoja1!C224)</f>
        <v>0</v>
      </c>
      <c r="G217" s="60" t="b">
        <f>EXACT(C217,Hoja1!D224)</f>
        <v>0</v>
      </c>
    </row>
    <row r="218" spans="1:7" s="55" customFormat="1" ht="51" x14ac:dyDescent="0.25">
      <c r="A218" s="53">
        <v>78</v>
      </c>
      <c r="B218" s="54" t="s">
        <v>320</v>
      </c>
      <c r="C218" s="55">
        <v>1012681.42</v>
      </c>
      <c r="D218" s="60"/>
      <c r="E218" s="62">
        <f>COUNTIF(Hoja1!$C$9:$C$452,'Hoja3 (2)'!B218)</f>
        <v>0</v>
      </c>
      <c r="F218" s="60" t="b">
        <f>EXACT(B218,Hoja1!C225)</f>
        <v>0</v>
      </c>
      <c r="G218" s="60" t="b">
        <f>EXACT(C218,Hoja1!D225)</f>
        <v>0</v>
      </c>
    </row>
    <row r="219" spans="1:7" s="55" customFormat="1" ht="51" x14ac:dyDescent="0.25">
      <c r="A219" s="53">
        <v>79</v>
      </c>
      <c r="B219" s="54" t="s">
        <v>321</v>
      </c>
      <c r="C219" s="55">
        <v>1707446.44</v>
      </c>
      <c r="D219" s="60"/>
      <c r="E219" s="62">
        <f>COUNTIF(Hoja1!$C$9:$C$452,'Hoja3 (2)'!B219)</f>
        <v>0</v>
      </c>
      <c r="F219" s="60" t="b">
        <f>EXACT(B219,Hoja1!C226)</f>
        <v>0</v>
      </c>
      <c r="G219" s="60" t="b">
        <f>EXACT(C219,Hoja1!D226)</f>
        <v>0</v>
      </c>
    </row>
    <row r="220" spans="1:7" s="55" customFormat="1" ht="51" x14ac:dyDescent="0.25">
      <c r="A220" s="53">
        <v>80</v>
      </c>
      <c r="B220" s="54" t="s">
        <v>322</v>
      </c>
      <c r="C220" s="55">
        <v>4628073.25</v>
      </c>
      <c r="D220" s="60"/>
      <c r="E220" s="62">
        <f>COUNTIF(Hoja1!$C$9:$C$452,'Hoja3 (2)'!B220)</f>
        <v>0</v>
      </c>
      <c r="F220" s="60" t="b">
        <f>EXACT(B220,Hoja1!C227)</f>
        <v>0</v>
      </c>
      <c r="G220" s="60" t="b">
        <f>EXACT(C220,Hoja1!D227)</f>
        <v>0</v>
      </c>
    </row>
    <row r="221" spans="1:7" s="55" customFormat="1" ht="51" x14ac:dyDescent="0.25">
      <c r="A221" s="53">
        <v>81</v>
      </c>
      <c r="B221" s="54" t="s">
        <v>323</v>
      </c>
      <c r="C221" s="55">
        <v>1360520.47</v>
      </c>
      <c r="D221" s="60"/>
      <c r="E221" s="62">
        <f>COUNTIF(Hoja1!$C$9:$C$452,'Hoja3 (2)'!B221)</f>
        <v>0</v>
      </c>
      <c r="F221" s="60" t="b">
        <f>EXACT(B221,Hoja1!C228)</f>
        <v>0</v>
      </c>
      <c r="G221" s="60" t="b">
        <f>EXACT(C221,Hoja1!D228)</f>
        <v>0</v>
      </c>
    </row>
    <row r="222" spans="1:7" s="55" customFormat="1" ht="25.5" x14ac:dyDescent="0.25">
      <c r="A222" s="73">
        <v>8</v>
      </c>
      <c r="B222" s="74" t="s">
        <v>209</v>
      </c>
      <c r="C222" s="75">
        <v>308508.29000000004</v>
      </c>
      <c r="D222" s="60"/>
      <c r="E222" s="62">
        <f>COUNTIF(Hoja1!$C$9:$C$452,'Hoja3 (2)'!B222)</f>
        <v>0</v>
      </c>
      <c r="F222" s="60" t="b">
        <f>EXACT(B222,Hoja1!C229)</f>
        <v>0</v>
      </c>
      <c r="G222" s="60" t="b">
        <f>EXACT(C222,Hoja1!D229)</f>
        <v>0</v>
      </c>
    </row>
    <row r="223" spans="1:7" s="55" customFormat="1" ht="25.5" x14ac:dyDescent="0.25">
      <c r="A223" s="53">
        <v>1</v>
      </c>
      <c r="B223" s="54" t="s">
        <v>210</v>
      </c>
      <c r="C223" s="55">
        <v>107112.30000000029</v>
      </c>
      <c r="D223" s="60"/>
      <c r="E223" s="62">
        <f>COUNTIF(Hoja1!$C$9:$C$452,'Hoja3 (2)'!B223)</f>
        <v>0</v>
      </c>
      <c r="F223" s="60" t="b">
        <f>EXACT(B223,Hoja1!C230)</f>
        <v>0</v>
      </c>
      <c r="G223" s="60" t="b">
        <f>EXACT(C223,Hoja1!D230)</f>
        <v>0</v>
      </c>
    </row>
    <row r="224" spans="1:7" s="55" customFormat="1" ht="38.25" x14ac:dyDescent="0.25">
      <c r="A224" s="53">
        <v>2</v>
      </c>
      <c r="B224" s="54" t="s">
        <v>211</v>
      </c>
      <c r="C224" s="55">
        <v>1000000</v>
      </c>
      <c r="D224" s="60"/>
      <c r="E224" s="62">
        <f>COUNTIF(Hoja1!$C$9:$C$452,'Hoja3 (2)'!B224)</f>
        <v>0</v>
      </c>
      <c r="F224" s="60" t="b">
        <f>EXACT(B224,Hoja1!C248)</f>
        <v>0</v>
      </c>
      <c r="G224" s="60" t="b">
        <f>EXACT(C224,Hoja1!D248)</f>
        <v>0</v>
      </c>
    </row>
    <row r="225" spans="1:7" s="55" customFormat="1" ht="38.25" x14ac:dyDescent="0.25">
      <c r="A225" s="53">
        <v>4</v>
      </c>
      <c r="B225" s="54" t="s">
        <v>212</v>
      </c>
      <c r="C225" s="55">
        <v>1025236.96</v>
      </c>
      <c r="D225" s="60"/>
      <c r="E225" s="62">
        <f>COUNTIF(Hoja1!$C$9:$C$452,'Hoja3 (2)'!B225)</f>
        <v>0</v>
      </c>
      <c r="F225" s="60" t="b">
        <f>EXACT(B225,Hoja1!C249)</f>
        <v>0</v>
      </c>
      <c r="G225" s="60" t="b">
        <f>EXACT(C225,Hoja1!D249)</f>
        <v>0</v>
      </c>
    </row>
    <row r="226" spans="1:7" s="55" customFormat="1" ht="38.25" x14ac:dyDescent="0.25">
      <c r="A226" s="53">
        <v>5</v>
      </c>
      <c r="B226" s="54" t="s">
        <v>213</v>
      </c>
      <c r="C226" s="55">
        <v>2000000</v>
      </c>
      <c r="D226" s="60"/>
      <c r="E226" s="62">
        <f>COUNTIF(Hoja1!$C$9:$C$452,'Hoja3 (2)'!B226)</f>
        <v>0</v>
      </c>
      <c r="F226" s="60" t="b">
        <f>EXACT(B226,Hoja1!C250)</f>
        <v>0</v>
      </c>
      <c r="G226" s="60" t="b">
        <f>EXACT(C226,Hoja1!D250)</f>
        <v>0</v>
      </c>
    </row>
    <row r="227" spans="1:7" s="55" customFormat="1" ht="51" x14ac:dyDescent="0.25">
      <c r="A227" s="53">
        <v>8</v>
      </c>
      <c r="B227" s="54" t="s">
        <v>214</v>
      </c>
      <c r="C227" s="55">
        <v>1000000</v>
      </c>
      <c r="D227" s="60"/>
      <c r="E227" s="62">
        <f>COUNTIF(Hoja1!$C$9:$C$452,'Hoja3 (2)'!B227)</f>
        <v>0</v>
      </c>
      <c r="F227" s="60" t="b">
        <f>EXACT(B227,Hoja1!C251)</f>
        <v>0</v>
      </c>
      <c r="G227" s="60" t="b">
        <f>EXACT(C227,Hoja1!D251)</f>
        <v>0</v>
      </c>
    </row>
    <row r="228" spans="1:7" s="55" customFormat="1" ht="38.25" x14ac:dyDescent="0.25">
      <c r="A228" s="53">
        <v>10</v>
      </c>
      <c r="B228" s="54" t="s">
        <v>215</v>
      </c>
      <c r="C228" s="55">
        <v>1500000</v>
      </c>
      <c r="D228" s="60"/>
      <c r="E228" s="62">
        <f>COUNTIF(Hoja1!$C$9:$C$452,'Hoja3 (2)'!B228)</f>
        <v>0</v>
      </c>
      <c r="F228" s="60" t="b">
        <f>EXACT(B228,Hoja1!C252)</f>
        <v>0</v>
      </c>
      <c r="G228" s="60" t="b">
        <f>EXACT(C228,Hoja1!D252)</f>
        <v>0</v>
      </c>
    </row>
    <row r="229" spans="1:7" s="55" customFormat="1" ht="38.25" x14ac:dyDescent="0.25">
      <c r="A229" s="53">
        <v>12</v>
      </c>
      <c r="B229" s="54" t="s">
        <v>216</v>
      </c>
      <c r="C229" s="55">
        <v>1971502.18</v>
      </c>
      <c r="D229" s="60"/>
      <c r="E229" s="62">
        <f>COUNTIF(Hoja1!$C$9:$C$452,'Hoja3 (2)'!B229)</f>
        <v>0</v>
      </c>
      <c r="F229" s="60" t="e">
        <f>EXACT(B229,Hoja1!#REF!)</f>
        <v>#REF!</v>
      </c>
      <c r="G229" s="60" t="e">
        <f>EXACT(C229,Hoja1!#REF!)</f>
        <v>#REF!</v>
      </c>
    </row>
    <row r="230" spans="1:7" s="55" customFormat="1" ht="38.25" x14ac:dyDescent="0.25">
      <c r="A230" s="70">
        <v>1</v>
      </c>
      <c r="B230" s="71" t="s">
        <v>217</v>
      </c>
      <c r="C230" s="72">
        <v>1896742.6999999997</v>
      </c>
      <c r="D230" s="60"/>
      <c r="E230" s="62">
        <f>COUNTIF(Hoja1!$C$9:$C$452,'Hoja3 (2)'!B230)</f>
        <v>0</v>
      </c>
      <c r="F230" s="60" t="e">
        <f>EXACT(B230,Hoja1!#REF!)</f>
        <v>#REF!</v>
      </c>
      <c r="G230" s="60" t="e">
        <f>EXACT(C230,Hoja1!#REF!)</f>
        <v>#REF!</v>
      </c>
    </row>
    <row r="231" spans="1:7" s="55" customFormat="1" ht="38.25" x14ac:dyDescent="0.25">
      <c r="A231" s="70">
        <v>2</v>
      </c>
      <c r="B231" s="71" t="s">
        <v>218</v>
      </c>
      <c r="C231" s="72">
        <v>1500000</v>
      </c>
      <c r="D231" s="60"/>
      <c r="E231" s="62">
        <f>COUNTIF(Hoja1!$C$9:$C$452,'Hoja3 (2)'!B231)</f>
        <v>0</v>
      </c>
      <c r="F231" s="60" t="e">
        <f>EXACT(B231,Hoja1!#REF!)</f>
        <v>#REF!</v>
      </c>
      <c r="G231" s="60" t="e">
        <f>EXACT(C231,Hoja1!#REF!)</f>
        <v>#REF!</v>
      </c>
    </row>
  </sheetData>
  <autoFilter ref="A5:N231">
    <filterColumn colId="5">
      <filters>
        <filter val="FALS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Hoja3 (2)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2024-01-29T16:16:23Z</cp:lastPrinted>
  <dcterms:created xsi:type="dcterms:W3CDTF">2022-04-08T17:51:08Z</dcterms:created>
  <dcterms:modified xsi:type="dcterms:W3CDTF">2024-04-22T16:49:39Z</dcterms:modified>
</cp:coreProperties>
</file>